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erclesas-my.sharepoint.com/personal/valerie_vanwormhoudt_mycerclesas_onmicrosoft_com/Documents/R/Module CSF/"/>
    </mc:Choice>
  </mc:AlternateContent>
  <xr:revisionPtr revIDLastSave="71" documentId="8_{84AF0558-E91D-42A9-BB69-A88C4D7A16DA}" xr6:coauthVersionLast="47" xr6:coauthVersionMax="47" xr10:uidLastSave="{D38571F1-06E5-4139-92FF-E84845965984}"/>
  <bookViews>
    <workbookView xWindow="-110" yWindow="-110" windowWidth="19420" windowHeight="10420" xr2:uid="{F31FE429-B7E5-4BD3-BE70-3AE968539A6C}"/>
  </bookViews>
  <sheets>
    <sheet name="Carbones à répercuter" sheetId="3" r:id="rId1"/>
    <sheet name="Année 1" sheetId="4" r:id="rId2"/>
    <sheet name="Année 2" sheetId="5" r:id="rId3"/>
    <sheet name="Année 3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3" i="6" l="1"/>
  <c r="B92" i="6"/>
  <c r="B92" i="5"/>
  <c r="B91" i="5"/>
  <c r="B89" i="4"/>
  <c r="B88" i="4"/>
  <c r="C70" i="5"/>
  <c r="G10" i="6" l="1"/>
  <c r="G17" i="6"/>
  <c r="G18" i="6"/>
  <c r="G19" i="6"/>
  <c r="G20" i="6"/>
  <c r="G21" i="6"/>
  <c r="G22" i="6"/>
  <c r="G30" i="6"/>
  <c r="G31" i="6"/>
  <c r="G33" i="6"/>
  <c r="G34" i="6"/>
  <c r="G9" i="6"/>
  <c r="G10" i="5"/>
  <c r="G14" i="5"/>
  <c r="G17" i="5"/>
  <c r="G18" i="5"/>
  <c r="G19" i="5"/>
  <c r="G20" i="5"/>
  <c r="G21" i="5"/>
  <c r="G22" i="5"/>
  <c r="G30" i="5"/>
  <c r="G31" i="5"/>
  <c r="G33" i="5"/>
  <c r="B85" i="5" s="1"/>
  <c r="G34" i="5"/>
  <c r="G9" i="5"/>
  <c r="G9" i="4"/>
  <c r="G13" i="4"/>
  <c r="G17" i="4"/>
  <c r="G18" i="4"/>
  <c r="G19" i="4"/>
  <c r="G20" i="4"/>
  <c r="G21" i="4"/>
  <c r="G28" i="4"/>
  <c r="G29" i="4"/>
  <c r="G30" i="4"/>
  <c r="G32" i="4"/>
  <c r="B82" i="4" s="1"/>
  <c r="G33" i="4"/>
  <c r="G8" i="4"/>
  <c r="B1" i="4"/>
  <c r="B1" i="5" s="1"/>
  <c r="G33" i="3"/>
  <c r="G29" i="3"/>
  <c r="G28" i="3"/>
  <c r="G12" i="3"/>
  <c r="G11" i="3"/>
  <c r="B20" i="3" s="1"/>
  <c r="G10" i="3"/>
  <c r="G13" i="3"/>
  <c r="G14" i="3"/>
  <c r="B1" i="6" l="1"/>
  <c r="B50" i="6"/>
  <c r="B50" i="5"/>
  <c r="B47" i="4"/>
  <c r="C72" i="6" l="1"/>
  <c r="D72" i="6" s="1"/>
  <c r="C85" i="5"/>
  <c r="D85" i="5" s="1"/>
  <c r="D70" i="5"/>
  <c r="C72" i="5"/>
  <c r="D72" i="5" s="1"/>
  <c r="C71" i="5"/>
  <c r="D71" i="5" s="1"/>
  <c r="C71" i="6"/>
  <c r="D71" i="6" s="1"/>
  <c r="C86" i="5"/>
  <c r="D86" i="5" s="1"/>
  <c r="C82" i="5"/>
  <c r="D82" i="5" s="1"/>
  <c r="C83" i="6"/>
  <c r="D83" i="6" s="1"/>
  <c r="C73" i="5"/>
  <c r="D73" i="5" s="1"/>
  <c r="C86" i="6"/>
  <c r="D86" i="6" s="1"/>
  <c r="C70" i="6"/>
  <c r="D70" i="6" s="1"/>
  <c r="C83" i="5"/>
  <c r="D83" i="5" s="1"/>
  <c r="C74" i="5"/>
  <c r="D74" i="5" s="1"/>
  <c r="C74" i="6"/>
  <c r="D74" i="6" s="1"/>
  <c r="C73" i="6"/>
  <c r="D73" i="6" s="1"/>
  <c r="C85" i="6"/>
  <c r="D85" i="6" s="1"/>
  <c r="C82" i="6"/>
  <c r="D82" i="6" s="1"/>
  <c r="B71" i="6"/>
  <c r="B71" i="5"/>
  <c r="B68" i="4"/>
  <c r="B97" i="6" l="1"/>
  <c r="B97" i="5"/>
  <c r="B21" i="3"/>
  <c r="B86" i="6" l="1"/>
  <c r="B83" i="6"/>
  <c r="B82" i="6"/>
  <c r="B74" i="6"/>
  <c r="B73" i="6"/>
  <c r="B72" i="6"/>
  <c r="B70" i="6"/>
  <c r="B64" i="6"/>
  <c r="B63" i="6"/>
  <c r="B61" i="6"/>
  <c r="B60" i="6"/>
  <c r="B53" i="6" l="1"/>
  <c r="B65" i="6"/>
  <c r="B86" i="5"/>
  <c r="B83" i="5"/>
  <c r="B82" i="5"/>
  <c r="B74" i="5"/>
  <c r="B73" i="5"/>
  <c r="B72" i="5"/>
  <c r="B70" i="5"/>
  <c r="B61" i="5"/>
  <c r="B60" i="5"/>
  <c r="B53" i="5" l="1"/>
  <c r="C23" i="3"/>
  <c r="B19" i="3"/>
  <c r="B65" i="5"/>
  <c r="B79" i="4"/>
  <c r="D21" i="3" l="1"/>
  <c r="B39" i="3" s="1"/>
  <c r="D22" i="3"/>
  <c r="D23" i="3"/>
  <c r="B41" i="3" s="1"/>
  <c r="C21" i="3"/>
  <c r="B55" i="4" s="1"/>
  <c r="B49" i="4" s="1"/>
  <c r="C22" i="3"/>
  <c r="B58" i="5" s="1"/>
  <c r="B52" i="5" s="1"/>
  <c r="B58" i="6"/>
  <c r="B52" i="6" s="1"/>
  <c r="B40" i="3"/>
  <c r="B64" i="4"/>
  <c r="B65" i="4"/>
  <c r="B67" i="4"/>
  <c r="B69" i="4"/>
  <c r="B70" i="4"/>
  <c r="B71" i="4"/>
  <c r="B80" i="4"/>
  <c r="B83" i="4"/>
  <c r="B58" i="4"/>
  <c r="B57" i="4"/>
  <c r="B50" i="4" l="1"/>
  <c r="B62" i="4"/>
  <c r="B87" i="5"/>
  <c r="B87" i="6"/>
  <c r="B84" i="4" l="1"/>
  <c r="F39" i="3" s="1"/>
  <c r="H39" i="3" s="1"/>
  <c r="C39" i="3" s="1"/>
  <c r="G39" i="3" l="1"/>
  <c r="I39" i="3" s="1"/>
  <c r="B85" i="4" s="1"/>
  <c r="B86" i="4" s="1"/>
  <c r="B51" i="4" s="1"/>
  <c r="F40" i="3"/>
  <c r="B87" i="4" l="1"/>
  <c r="G40" i="3"/>
  <c r="I40" i="3" s="1"/>
  <c r="B88" i="5" s="1"/>
  <c r="H40" i="3"/>
  <c r="C40" i="3" s="1"/>
  <c r="B89" i="5" l="1"/>
  <c r="B46" i="4"/>
  <c r="B48" i="4" s="1"/>
  <c r="B90" i="5" l="1"/>
  <c r="B54" i="5"/>
  <c r="F41" i="3"/>
  <c r="G41" i="3" s="1"/>
  <c r="B49" i="5" l="1"/>
  <c r="B51" i="5" s="1"/>
  <c r="H41" i="3"/>
  <c r="C41" i="3" s="1"/>
  <c r="I41" i="3"/>
  <c r="B88" i="6" s="1"/>
  <c r="B89" i="6" s="1"/>
  <c r="B91" i="6" l="1"/>
  <c r="B54" i="6"/>
  <c r="B100" i="5" l="1"/>
  <c r="B49" i="6"/>
  <c r="B51" i="6" s="1"/>
  <c r="B100" i="6" s="1"/>
  <c r="B55" i="6" s="1"/>
  <c r="B55" i="5" l="1"/>
</calcChain>
</file>

<file path=xl/sharedStrings.xml><?xml version="1.0" encoding="utf-8"?>
<sst xmlns="http://schemas.openxmlformats.org/spreadsheetml/2006/main" count="292" uniqueCount="91">
  <si>
    <t>Actifs mobiliers significatifs présents au bilan d’ouverture de l’année de démarrage</t>
  </si>
  <si>
    <t>Actifs mobiliers significatifs</t>
  </si>
  <si>
    <t>Immobilier sur &lt; 15 ans</t>
  </si>
  <si>
    <t xml:space="preserve">€ dans les comptes </t>
  </si>
  <si>
    <t>Gaz</t>
  </si>
  <si>
    <t>€</t>
  </si>
  <si>
    <t>Coefficient utilisé</t>
  </si>
  <si>
    <t>kg</t>
  </si>
  <si>
    <t>Année d’entrée au bilan</t>
  </si>
  <si>
    <t xml:space="preserve">Année </t>
  </si>
  <si>
    <t>m2</t>
  </si>
  <si>
    <t>Année</t>
  </si>
  <si>
    <t>Lignes à remplir</t>
  </si>
  <si>
    <t xml:space="preserve">3-Autre charges immobilisées </t>
  </si>
  <si>
    <t xml:space="preserve">Travaux immobiliers </t>
  </si>
  <si>
    <t>Autres charges significatives en carbones</t>
  </si>
  <si>
    <t>6-Energie</t>
  </si>
  <si>
    <t>Carburant</t>
  </si>
  <si>
    <t>Bois</t>
  </si>
  <si>
    <t>8-Bureautique</t>
  </si>
  <si>
    <t xml:space="preserve">PC </t>
  </si>
  <si>
    <t>Ordinateurs portables</t>
  </si>
  <si>
    <t>9-Autres charges significatives en carbones</t>
  </si>
  <si>
    <t>10- Autres charges non significatives en carbones</t>
  </si>
  <si>
    <t>KWH</t>
  </si>
  <si>
    <t>m3</t>
  </si>
  <si>
    <t>l</t>
  </si>
  <si>
    <t>Ecran</t>
  </si>
  <si>
    <t>Amortissement immobilier</t>
  </si>
  <si>
    <r>
      <t xml:space="preserve">2-Charges immobilières </t>
    </r>
    <r>
      <rPr>
        <sz val="10"/>
        <color theme="4"/>
        <rFont val="Calibri"/>
        <family val="2"/>
        <scheme val="minor"/>
      </rPr>
      <t xml:space="preserve">déjà renseignées en page Bilan </t>
    </r>
  </si>
  <si>
    <t>Total</t>
  </si>
  <si>
    <t>Mécanisme de lissage</t>
  </si>
  <si>
    <t xml:space="preserve">Poids brut des charges </t>
  </si>
  <si>
    <t xml:space="preserve">3-Autres charges immobilisées </t>
  </si>
  <si>
    <t>Total autres charges immobilisées</t>
  </si>
  <si>
    <t xml:space="preserve">Poids de clôture </t>
  </si>
  <si>
    <t>Immobilier</t>
  </si>
  <si>
    <t>Lissage</t>
  </si>
  <si>
    <t xml:space="preserve">Amortissement de l'année </t>
  </si>
  <si>
    <t>Poids de clôture</t>
  </si>
  <si>
    <t>Poids de lissage</t>
  </si>
  <si>
    <t>Immobilisations à lisser de l'année</t>
  </si>
  <si>
    <t xml:space="preserve">Impact du lissage </t>
  </si>
  <si>
    <t>Electricité chauffage</t>
  </si>
  <si>
    <t>Autre électricité</t>
  </si>
  <si>
    <t>Chaudière, ascenseur</t>
  </si>
  <si>
    <t xml:space="preserve">Poids après lissage des charges </t>
  </si>
  <si>
    <t>Carbones à répercuter</t>
  </si>
  <si>
    <t>Actifs et gros travaux immobiliers (amortis sur 15 ou plus)</t>
  </si>
  <si>
    <t>B- Récapitulation des poids ajoutés chaque année</t>
  </si>
  <si>
    <t>A – Calcul des poids en carbones à partir du bilan d'ouverture puis de chaque année</t>
  </si>
  <si>
    <t>Voir Mode d'emploi pour l'explication des colonnes</t>
  </si>
  <si>
    <t>Carbones restant à répercuter à la fin de chaque exercice</t>
  </si>
  <si>
    <t>A- Poids de la production</t>
  </si>
  <si>
    <t>B- Données à saisir sur les quantités de services vendus</t>
  </si>
  <si>
    <t>Poids de la production = Empreinte SCI</t>
  </si>
  <si>
    <t>Quantités de services rendus</t>
  </si>
  <si>
    <t>C- Données à saisir pour le résultat de décarbonation</t>
  </si>
  <si>
    <t xml:space="preserve">  - dont empreinte du loyer au m²</t>
  </si>
  <si>
    <t xml:space="preserve">  - dont empreinte des charges de chauffage/ventilation au m²</t>
  </si>
  <si>
    <t xml:space="preserve">  - dont empreinte des autres charges au m²</t>
  </si>
  <si>
    <t>Chaudière, ascenseur…</t>
  </si>
  <si>
    <t>Chaudière, Ascenseur …</t>
  </si>
  <si>
    <t>Nombre de m² maximum facturables sur l'exercice par mois ou par trimestre</t>
  </si>
  <si>
    <t>Quantités de services vendus au taux d'occupation moyen terme</t>
  </si>
  <si>
    <t>Poids d'équilibre</t>
  </si>
  <si>
    <r>
      <t xml:space="preserve">1-Charges sans carbones </t>
    </r>
    <r>
      <rPr>
        <sz val="10"/>
        <color rgb="FF4472C4"/>
        <rFont val="Calibri"/>
        <family val="2"/>
        <scheme val="minor"/>
      </rPr>
      <t>(salaires chargés, emprunts, taxes…)</t>
    </r>
  </si>
  <si>
    <t>Chiffres carbone de l’année</t>
  </si>
  <si>
    <t>Poids de la production (= empreinte de la SCI)</t>
  </si>
  <si>
    <t>Poids de vente comptable (= empreinte du service)</t>
  </si>
  <si>
    <t>Votre exercice de démarrage</t>
  </si>
  <si>
    <t>Unité de quantité de l'achat</t>
  </si>
  <si>
    <t>Quantités AVEC poids CO2 indiqués</t>
  </si>
  <si>
    <t>Poids de CO2 associé</t>
  </si>
  <si>
    <t>Quantités SANS poids CO2 indiqués</t>
  </si>
  <si>
    <t>Poids total calculé en CO2</t>
  </si>
  <si>
    <t>Poids unitaire (ou facteur d'émission) utilisé</t>
  </si>
  <si>
    <t>Poids à amortir</t>
  </si>
  <si>
    <t>Amortissement de l'année</t>
  </si>
  <si>
    <t>Compléter par le poids de toute charge excédent 10% des charges carbonées</t>
  </si>
  <si>
    <t xml:space="preserve">Résultat de décarbonation </t>
  </si>
  <si>
    <t>Détail du poids de la production en carbones</t>
  </si>
  <si>
    <t>Décarbonation annuelle</t>
  </si>
  <si>
    <t>Effet Poids unitaire</t>
  </si>
  <si>
    <t>Solde d'accords de partage</t>
  </si>
  <si>
    <t>Effet variation des quantités de services vendus</t>
  </si>
  <si>
    <t>Variation de quantité à l'unité produite</t>
  </si>
  <si>
    <t>Contribution au résultat</t>
  </si>
  <si>
    <t>Poids moyen de chauffage par m² sur le marché</t>
  </si>
  <si>
    <t>Taux d'occupation sur le marché</t>
  </si>
  <si>
    <t>Quantités de services vendus au taux d'occupation sur le marché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</si>
</sst>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0.0"/>
    <numFmt numFmtId="166" formatCode="0.0000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4472C4"/>
      <name val="Calibri"/>
      <family val="2"/>
      <scheme val="minor"/>
    </font>
    <font>
      <sz val="10"/>
      <color rgb="FF4472C4"/>
      <name val="Calibri"/>
      <family val="2"/>
      <scheme val="minor"/>
    </font>
    <font>
      <sz val="11"/>
      <color rgb="FF4472C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sz val="1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27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vertical="center" wrapText="1"/>
    </xf>
    <xf numFmtId="0" fontId="0" fillId="0" borderId="2" xfId="0" applyBorder="1"/>
    <xf numFmtId="0" fontId="5" fillId="0" borderId="2" xfId="0" applyFont="1" applyBorder="1"/>
    <xf numFmtId="0" fontId="10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wrapText="1"/>
    </xf>
    <xf numFmtId="0" fontId="0" fillId="2" borderId="2" xfId="0" applyFill="1" applyBorder="1"/>
    <xf numFmtId="0" fontId="15" fillId="0" borderId="2" xfId="0" applyFont="1" applyBorder="1"/>
    <xf numFmtId="0" fontId="16" fillId="0" borderId="2" xfId="0" applyFont="1" applyBorder="1"/>
    <xf numFmtId="0" fontId="4" fillId="0" borderId="2" xfId="0" applyFont="1" applyBorder="1"/>
    <xf numFmtId="0" fontId="4" fillId="2" borderId="2" xfId="0" applyFont="1" applyFill="1" applyBorder="1"/>
    <xf numFmtId="0" fontId="6" fillId="0" borderId="2" xfId="0" applyFont="1" applyBorder="1" applyAlignment="1">
      <alignment vertical="center"/>
    </xf>
    <xf numFmtId="0" fontId="6" fillId="0" borderId="2" xfId="0" applyFont="1" applyBorder="1"/>
    <xf numFmtId="0" fontId="5" fillId="0" borderId="2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17" fillId="0" borderId="0" xfId="0" applyFont="1" applyAlignment="1">
      <alignment horizontal="right" vertical="center"/>
    </xf>
    <xf numFmtId="0" fontId="4" fillId="0" borderId="1" xfId="0" applyFont="1" applyBorder="1"/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wrapText="1"/>
    </xf>
    <xf numFmtId="1" fontId="0" fillId="0" borderId="0" xfId="0" applyNumberFormat="1"/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horizontal="left"/>
    </xf>
    <xf numFmtId="164" fontId="0" fillId="0" borderId="0" xfId="0" applyNumberFormat="1"/>
    <xf numFmtId="0" fontId="23" fillId="0" borderId="0" xfId="0" applyFont="1" applyAlignment="1">
      <alignment horizontal="left" vertical="center"/>
    </xf>
    <xf numFmtId="0" fontId="4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6" fillId="0" borderId="0" xfId="0" applyFont="1"/>
    <xf numFmtId="0" fontId="4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1" fontId="0" fillId="0" borderId="2" xfId="0" applyNumberForma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0" xfId="0" applyFont="1"/>
    <xf numFmtId="0" fontId="13" fillId="0" borderId="2" xfId="0" applyFont="1" applyBorder="1"/>
    <xf numFmtId="1" fontId="13" fillId="0" borderId="2" xfId="0" applyNumberFormat="1" applyFont="1" applyBorder="1"/>
    <xf numFmtId="0" fontId="13" fillId="0" borderId="0" xfId="0" applyFont="1"/>
    <xf numFmtId="1" fontId="13" fillId="0" borderId="0" xfId="0" applyNumberFormat="1" applyFont="1"/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" fontId="18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3" borderId="0" xfId="0" applyFont="1" applyFill="1" applyAlignment="1">
      <alignment horizont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wrapText="1" indent="1"/>
    </xf>
    <xf numFmtId="0" fontId="4" fillId="0" borderId="3" xfId="0" applyFont="1" applyBorder="1"/>
    <xf numFmtId="0" fontId="18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28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30" fillId="0" borderId="0" xfId="0" applyFont="1"/>
    <xf numFmtId="0" fontId="31" fillId="0" borderId="2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wrapText="1"/>
    </xf>
    <xf numFmtId="1" fontId="18" fillId="0" borderId="0" xfId="0" applyNumberFormat="1" applyFont="1" applyAlignment="1">
      <alignment horizontal="center" wrapText="1"/>
    </xf>
    <xf numFmtId="0" fontId="12" fillId="0" borderId="0" xfId="0" applyFont="1" applyAlignment="1">
      <alignment vertical="center"/>
    </xf>
    <xf numFmtId="166" fontId="13" fillId="0" borderId="0" xfId="0" applyNumberFormat="1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9" fontId="4" fillId="0" borderId="0" xfId="0" applyNumberFormat="1" applyFont="1" applyBorder="1"/>
    <xf numFmtId="9" fontId="4" fillId="0" borderId="1" xfId="1" applyFont="1" applyBorder="1"/>
    <xf numFmtId="9" fontId="4" fillId="0" borderId="1" xfId="0" applyNumberFormat="1" applyFont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7A080-A365-4460-BC8A-03E17697B69A}">
  <dimension ref="A1:L46"/>
  <sheetViews>
    <sheetView tabSelected="1" zoomScale="89" zoomScaleNormal="89" workbookViewId="0">
      <selection activeCell="B1" sqref="B1"/>
    </sheetView>
  </sheetViews>
  <sheetFormatPr baseColWidth="10" defaultRowHeight="14.5" x14ac:dyDescent="0.35"/>
  <cols>
    <col min="9" max="10" width="13.6328125" bestFit="1" customWidth="1"/>
  </cols>
  <sheetData>
    <row r="1" spans="1:10" ht="18.5" x14ac:dyDescent="0.35">
      <c r="A1" s="94" t="s">
        <v>47</v>
      </c>
      <c r="B1" s="94"/>
      <c r="C1" s="94"/>
    </row>
    <row r="2" spans="1:10" ht="18.5" x14ac:dyDescent="0.35">
      <c r="A2" s="94"/>
      <c r="B2" s="94"/>
      <c r="C2" s="94"/>
    </row>
    <row r="3" spans="1:10" ht="18.5" x14ac:dyDescent="0.45">
      <c r="A3" s="65" t="s">
        <v>70</v>
      </c>
      <c r="B3" s="65"/>
      <c r="C3" s="65"/>
      <c r="E3" s="108">
        <v>2022</v>
      </c>
    </row>
    <row r="4" spans="1:10" ht="18.5" x14ac:dyDescent="0.35">
      <c r="A4" s="65"/>
      <c r="B4" s="65"/>
      <c r="C4" s="65"/>
    </row>
    <row r="6" spans="1:10" x14ac:dyDescent="0.35">
      <c r="A6" s="117" t="s">
        <v>48</v>
      </c>
      <c r="B6" s="115"/>
      <c r="C6" s="115"/>
      <c r="D6" s="115"/>
      <c r="E6" s="115"/>
      <c r="F6" s="115"/>
      <c r="G6" s="115"/>
      <c r="H6" s="115"/>
      <c r="I6" s="115"/>
      <c r="J6" s="115"/>
    </row>
    <row r="7" spans="1:10" x14ac:dyDescent="0.35">
      <c r="A7" s="118" t="s">
        <v>50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0" x14ac:dyDescent="0.35">
      <c r="B8" s="79" t="s">
        <v>51</v>
      </c>
      <c r="C8" s="79"/>
    </row>
    <row r="9" spans="1:10" ht="52" x14ac:dyDescent="0.35">
      <c r="A9" s="10" t="s">
        <v>8</v>
      </c>
      <c r="B9" s="19" t="s">
        <v>3</v>
      </c>
      <c r="C9" s="109" t="s">
        <v>71</v>
      </c>
      <c r="D9" s="19" t="s">
        <v>72</v>
      </c>
      <c r="E9" s="19" t="s">
        <v>73</v>
      </c>
      <c r="F9" s="19" t="s">
        <v>74</v>
      </c>
      <c r="G9" s="109" t="s">
        <v>75</v>
      </c>
      <c r="J9" s="6" t="s">
        <v>76</v>
      </c>
    </row>
    <row r="10" spans="1:10" x14ac:dyDescent="0.35">
      <c r="A10" s="8">
        <v>2015</v>
      </c>
      <c r="B10" s="14">
        <v>800000</v>
      </c>
      <c r="C10" s="15" t="s">
        <v>10</v>
      </c>
      <c r="D10" s="14">
        <v>0</v>
      </c>
      <c r="E10" s="14">
        <v>0</v>
      </c>
      <c r="F10" s="14">
        <v>100</v>
      </c>
      <c r="G10" s="15">
        <f>(F10*J10)+E10</f>
        <v>45000</v>
      </c>
      <c r="J10" s="7">
        <v>450</v>
      </c>
    </row>
    <row r="11" spans="1:10" x14ac:dyDescent="0.35">
      <c r="A11" s="8">
        <v>2020</v>
      </c>
      <c r="B11" s="14">
        <v>400000</v>
      </c>
      <c r="C11" s="15" t="s">
        <v>10</v>
      </c>
      <c r="D11" s="14">
        <v>56</v>
      </c>
      <c r="E11" s="14">
        <v>26000</v>
      </c>
      <c r="F11" s="14">
        <v>0</v>
      </c>
      <c r="G11" s="15">
        <f>(F11*J10)+E11</f>
        <v>26000</v>
      </c>
    </row>
    <row r="12" spans="1:10" x14ac:dyDescent="0.35">
      <c r="A12" s="8">
        <v>2022</v>
      </c>
      <c r="B12" s="14">
        <v>400000</v>
      </c>
      <c r="C12" s="15" t="s">
        <v>10</v>
      </c>
      <c r="D12" s="14">
        <v>0</v>
      </c>
      <c r="E12" s="14">
        <v>0</v>
      </c>
      <c r="F12" s="14">
        <v>50</v>
      </c>
      <c r="G12" s="15">
        <f>(F12*J10)+E12</f>
        <v>22500</v>
      </c>
    </row>
    <row r="13" spans="1:10" x14ac:dyDescent="0.35">
      <c r="A13" s="8">
        <v>2023</v>
      </c>
      <c r="B13" s="14">
        <v>0</v>
      </c>
      <c r="C13" s="15" t="s">
        <v>10</v>
      </c>
      <c r="D13" s="14"/>
      <c r="E13" s="4"/>
      <c r="F13" s="14"/>
      <c r="G13" s="15">
        <f t="shared" ref="G13:G14" si="0">(F13*J13)+E13</f>
        <v>0</v>
      </c>
    </row>
    <row r="14" spans="1:10" x14ac:dyDescent="0.35">
      <c r="A14" s="8">
        <v>2024</v>
      </c>
      <c r="B14" s="14">
        <v>0</v>
      </c>
      <c r="C14" s="15" t="s">
        <v>10</v>
      </c>
      <c r="D14" s="14"/>
      <c r="E14" s="4"/>
      <c r="F14" s="14"/>
      <c r="G14" s="15">
        <f t="shared" si="0"/>
        <v>0</v>
      </c>
    </row>
    <row r="16" spans="1:10" ht="28" customHeight="1" x14ac:dyDescent="0.35">
      <c r="A16" s="118" t="s">
        <v>49</v>
      </c>
      <c r="B16" s="119"/>
      <c r="C16" s="119"/>
      <c r="D16" s="119"/>
      <c r="E16" s="119"/>
      <c r="F16" s="119"/>
      <c r="G16" s="119"/>
      <c r="H16" s="119"/>
      <c r="I16" s="119"/>
      <c r="J16" s="119"/>
    </row>
    <row r="18" spans="1:10" ht="39" x14ac:dyDescent="0.35">
      <c r="A18" s="9" t="s">
        <v>8</v>
      </c>
      <c r="B18" s="110" t="s">
        <v>77</v>
      </c>
      <c r="C18" s="110" t="s">
        <v>78</v>
      </c>
      <c r="D18" s="110" t="s">
        <v>39</v>
      </c>
      <c r="F18" s="60"/>
      <c r="G18" s="60"/>
      <c r="H18" s="61"/>
    </row>
    <row r="19" spans="1:10" x14ac:dyDescent="0.35">
      <c r="A19" s="8">
        <v>2015</v>
      </c>
      <c r="B19" s="102">
        <f>G10</f>
        <v>45000</v>
      </c>
      <c r="C19" s="8"/>
      <c r="D19" s="8"/>
      <c r="F19" s="62"/>
      <c r="G19" s="62"/>
      <c r="H19" s="62"/>
    </row>
    <row r="20" spans="1:10" x14ac:dyDescent="0.35">
      <c r="A20" s="8">
        <v>2020</v>
      </c>
      <c r="B20" s="102">
        <f>G11</f>
        <v>26000</v>
      </c>
      <c r="C20" s="8"/>
      <c r="D20" s="8"/>
      <c r="F20" s="62"/>
      <c r="G20" s="62"/>
      <c r="H20" s="62"/>
    </row>
    <row r="21" spans="1:10" x14ac:dyDescent="0.35">
      <c r="A21" s="8">
        <v>2022</v>
      </c>
      <c r="B21" s="102">
        <f>G12</f>
        <v>22500</v>
      </c>
      <c r="C21" s="78">
        <f>B21/20+IF((A21-A20)&lt;20,B20/20,0)+IF(A21-A19&lt;20,B19/20,0)</f>
        <v>4675</v>
      </c>
      <c r="D21" s="78">
        <f>B21*19/20+IF(A21-A20&lt;20,(20-(A21-A20-1))/20*B20,0)+IF(A21-A19&lt;20,(20-(A21-A19-1))/20*B19,0)</f>
        <v>77575</v>
      </c>
      <c r="F21" s="63"/>
      <c r="G21" s="63"/>
      <c r="H21" s="62"/>
      <c r="J21" s="46"/>
    </row>
    <row r="22" spans="1:10" x14ac:dyDescent="0.35">
      <c r="A22" s="8">
        <v>2023</v>
      </c>
      <c r="B22" s="103">
        <v>0</v>
      </c>
      <c r="C22" s="78">
        <f>B22/20+IF(A22-A21&lt;20,B21/20,0)+IF(A22-A20&lt;20,B20/20,0)+IF(A22-A19,B19/20,0)</f>
        <v>4675</v>
      </c>
      <c r="D22" s="78">
        <f>IF(A22-A21&lt;20,(20-(A22-A21-1))/20*B21,0)+IF(A22-A20&lt;20,(20-(A22-A20-1))/20*B20,0)+IF(A22-A19&lt;20,(20-(A22-A19-1))/20*B19,0)</f>
        <v>75150</v>
      </c>
      <c r="F22" s="63"/>
      <c r="G22" s="63"/>
      <c r="H22" s="62"/>
    </row>
    <row r="23" spans="1:10" x14ac:dyDescent="0.35">
      <c r="A23" s="8">
        <v>2024</v>
      </c>
      <c r="B23" s="103">
        <v>0</v>
      </c>
      <c r="C23" s="78">
        <f>B23/20+IF(A23-A22&lt;20,B22/20,0)+IF(A23-A21&lt;20,B21/20,0)+IF(A23-A20&lt;20,B20/20,0)+IF(A23-A19&lt;20,B19/20,0)</f>
        <v>4675</v>
      </c>
      <c r="D23" s="78">
        <f>IF(A23-A22&lt;20,(20-(A23-A22-1))/20*B22,0)+IF(A23-A21&lt;20,(20-(A23-A21-1))/20*B21,0)+IF(A23-A20&lt;20,(20-(A23-A20-1))/20*B20,0)+IF(A23-A19&lt;20,(20-(A23-A19-1))/20*B19,0)</f>
        <v>70475</v>
      </c>
      <c r="F23" s="63"/>
      <c r="G23" s="63"/>
      <c r="H23" s="62"/>
    </row>
    <row r="24" spans="1:10" x14ac:dyDescent="0.35">
      <c r="A24" s="62"/>
      <c r="B24" s="63"/>
      <c r="C24" s="63"/>
      <c r="D24" s="63"/>
      <c r="E24" s="63"/>
      <c r="F24" s="63"/>
      <c r="G24" s="63"/>
      <c r="H24" s="62"/>
    </row>
    <row r="25" spans="1:10" ht="15" customHeight="1" x14ac:dyDescent="0.35">
      <c r="A25" s="69"/>
      <c r="B25" s="70"/>
      <c r="C25" s="70"/>
      <c r="D25" s="70"/>
      <c r="E25" s="70"/>
      <c r="F25" s="70"/>
      <c r="G25" s="70"/>
      <c r="H25" s="70"/>
      <c r="I25" s="70"/>
      <c r="J25" s="70"/>
    </row>
    <row r="26" spans="1:10" s="2" customFormat="1" x14ac:dyDescent="0.35">
      <c r="A26" s="115" t="s">
        <v>0</v>
      </c>
      <c r="B26" s="115"/>
      <c r="C26" s="115"/>
      <c r="D26" s="115"/>
      <c r="E26" s="115"/>
      <c r="F26" s="115"/>
      <c r="G26" s="115"/>
      <c r="H26" s="115"/>
      <c r="I26" s="115"/>
      <c r="J26" s="115"/>
    </row>
    <row r="27" spans="1:10" ht="52" x14ac:dyDescent="0.35">
      <c r="A27" s="18" t="s">
        <v>1</v>
      </c>
      <c r="B27" s="19" t="s">
        <v>3</v>
      </c>
      <c r="C27" s="109" t="s">
        <v>71</v>
      </c>
      <c r="D27" s="19" t="s">
        <v>72</v>
      </c>
      <c r="E27" s="19" t="s">
        <v>73</v>
      </c>
      <c r="F27" s="19" t="s">
        <v>74</v>
      </c>
      <c r="G27" s="109" t="s">
        <v>75</v>
      </c>
      <c r="J27" s="6" t="s">
        <v>6</v>
      </c>
    </row>
    <row r="28" spans="1:10" ht="26" x14ac:dyDescent="0.35">
      <c r="A28" s="3" t="s">
        <v>2</v>
      </c>
      <c r="B28" s="16">
        <v>10000</v>
      </c>
      <c r="C28" s="17" t="s">
        <v>5</v>
      </c>
      <c r="D28" s="16">
        <v>1000</v>
      </c>
      <c r="E28">
        <v>100</v>
      </c>
      <c r="F28" s="16">
        <v>8000</v>
      </c>
      <c r="G28" s="17">
        <f>(F28*J28)+E28</f>
        <v>900</v>
      </c>
      <c r="J28" s="7">
        <v>0.1</v>
      </c>
    </row>
    <row r="29" spans="1:10" ht="26" x14ac:dyDescent="0.35">
      <c r="A29" s="3" t="s">
        <v>62</v>
      </c>
      <c r="B29" s="16">
        <v>5000</v>
      </c>
      <c r="C29" s="17" t="s">
        <v>7</v>
      </c>
      <c r="D29" s="16">
        <v>0</v>
      </c>
      <c r="E29" s="4">
        <v>0</v>
      </c>
      <c r="F29" s="16">
        <v>1000</v>
      </c>
      <c r="G29" s="17">
        <f>(F29*J29)+E29</f>
        <v>7600</v>
      </c>
      <c r="J29" s="7">
        <v>7.6</v>
      </c>
    </row>
    <row r="30" spans="1:10" x14ac:dyDescent="0.35">
      <c r="A30" s="3"/>
      <c r="B30" s="16"/>
      <c r="C30" s="16"/>
      <c r="D30" s="16"/>
      <c r="E30" s="17"/>
      <c r="F30" s="16"/>
      <c r="G30" s="17"/>
      <c r="J30" s="7"/>
    </row>
    <row r="31" spans="1:10" x14ac:dyDescent="0.35">
      <c r="A31" s="5"/>
      <c r="B31" s="16"/>
      <c r="C31" s="16"/>
      <c r="D31" s="16"/>
      <c r="E31" s="17"/>
      <c r="F31" s="16"/>
      <c r="G31" s="17"/>
      <c r="J31" s="7"/>
    </row>
    <row r="32" spans="1:10" x14ac:dyDescent="0.35">
      <c r="A32" s="5"/>
      <c r="B32" s="16"/>
      <c r="C32" s="16"/>
      <c r="D32" s="16"/>
      <c r="E32" s="17"/>
      <c r="F32" s="16"/>
      <c r="G32" s="17"/>
      <c r="J32" s="7"/>
    </row>
    <row r="33" spans="1:12" x14ac:dyDescent="0.35">
      <c r="A33" s="5" t="s">
        <v>30</v>
      </c>
      <c r="B33" s="4"/>
      <c r="C33" s="4"/>
      <c r="D33" s="4"/>
      <c r="E33" s="4"/>
      <c r="F33" s="4"/>
      <c r="G33" s="47">
        <f>SUM(G28:G32)</f>
        <v>8500</v>
      </c>
    </row>
    <row r="34" spans="1:12" x14ac:dyDescent="0.35">
      <c r="I34" s="54"/>
      <c r="J34" s="46"/>
    </row>
    <row r="35" spans="1:12" s="1" customFormat="1" ht="16" customHeight="1" x14ac:dyDescent="0.35">
      <c r="A35" s="64"/>
    </row>
    <row r="36" spans="1:12" s="1" customFormat="1" ht="36" customHeight="1" x14ac:dyDescent="0.45">
      <c r="A36" s="116" t="s">
        <v>52</v>
      </c>
      <c r="B36" s="116"/>
      <c r="C36" s="116"/>
      <c r="D36" s="116"/>
      <c r="E36" s="116"/>
      <c r="G36" s="85" t="s">
        <v>31</v>
      </c>
      <c r="H36" s="67"/>
      <c r="I36" s="67"/>
      <c r="J36" s="67"/>
      <c r="K36" s="67"/>
    </row>
    <row r="37" spans="1:12" ht="18.5" x14ac:dyDescent="0.45">
      <c r="A37" s="48"/>
      <c r="B37" s="50" t="s">
        <v>36</v>
      </c>
      <c r="C37" s="51" t="s">
        <v>37</v>
      </c>
      <c r="G37" s="57"/>
      <c r="H37" s="58"/>
      <c r="I37" s="58"/>
      <c r="J37" s="58"/>
      <c r="K37" s="59"/>
    </row>
    <row r="38" spans="1:12" ht="43.5" x14ac:dyDescent="0.35">
      <c r="A38" s="11" t="s">
        <v>9</v>
      </c>
      <c r="B38" s="12" t="s">
        <v>35</v>
      </c>
      <c r="C38" s="12" t="s">
        <v>35</v>
      </c>
      <c r="E38" s="83"/>
      <c r="F38" s="12" t="s">
        <v>41</v>
      </c>
      <c r="G38" s="12" t="s">
        <v>38</v>
      </c>
      <c r="H38" s="12" t="s">
        <v>39</v>
      </c>
      <c r="I38" s="12" t="s">
        <v>40</v>
      </c>
    </row>
    <row r="39" spans="1:12" x14ac:dyDescent="0.35">
      <c r="A39" s="13">
        <v>2022</v>
      </c>
      <c r="B39" s="82">
        <f>D21</f>
        <v>77575</v>
      </c>
      <c r="C39" s="82">
        <f>H39</f>
        <v>5700</v>
      </c>
      <c r="E39" s="83"/>
      <c r="F39" s="81">
        <f>IF('Année 1'!B62&gt;(0.3*('Année 1'!B84-'Année 1'!B62)),'Année 1'!B62,0)</f>
        <v>4300</v>
      </c>
      <c r="G39" s="82">
        <f>F39/3+'Carbones à répercuter'!G33/3+0/3</f>
        <v>4266.666666666667</v>
      </c>
      <c r="H39" s="82">
        <f>(2/3*F39)+(1/3*'Carbones à répercuter'!G33)</f>
        <v>5700</v>
      </c>
      <c r="I39" s="82">
        <f>G39-F39</f>
        <v>-33.33333333333303</v>
      </c>
      <c r="L39" s="46"/>
    </row>
    <row r="40" spans="1:12" x14ac:dyDescent="0.35">
      <c r="A40" s="13">
        <v>2023</v>
      </c>
      <c r="B40" s="82">
        <f>D22</f>
        <v>75150</v>
      </c>
      <c r="C40" s="82">
        <f>H40</f>
        <v>1433.3333333333333</v>
      </c>
      <c r="E40" s="83"/>
      <c r="F40" s="81">
        <f>IF('Année 2'!B65&gt;(0.3*('Année 2'!B87-'Année 2'!B65)),'Année 2'!B65,0)</f>
        <v>0</v>
      </c>
      <c r="G40" s="82">
        <f>F40/3+F39/3+'Carbones à répercuter'!G33/3</f>
        <v>4266.666666666667</v>
      </c>
      <c r="H40" s="82">
        <f>2/3*F40+1/3*F39</f>
        <v>1433.3333333333333</v>
      </c>
      <c r="I40" s="82">
        <f>G40-F40</f>
        <v>4266.666666666667</v>
      </c>
      <c r="L40" s="46"/>
    </row>
    <row r="41" spans="1:12" x14ac:dyDescent="0.35">
      <c r="A41" s="13">
        <v>2024</v>
      </c>
      <c r="B41" s="82">
        <f>D23</f>
        <v>70475</v>
      </c>
      <c r="C41" s="82">
        <f>H41</f>
        <v>2540</v>
      </c>
      <c r="E41" s="83"/>
      <c r="F41" s="81">
        <f>IF('Année 3'!B65&gt;(0.3*('Année 3'!B87-'Année 3'!B65)),'Année 3'!B65,0)</f>
        <v>3810</v>
      </c>
      <c r="G41" s="82">
        <f>F41/3+F40/3+F39/3</f>
        <v>2703.333333333333</v>
      </c>
      <c r="H41" s="82">
        <f>(2/3*F41)+(1/3*F40)</f>
        <v>2540</v>
      </c>
      <c r="I41" s="82">
        <f>G41-F41</f>
        <v>-1106.666666666667</v>
      </c>
      <c r="L41" s="46"/>
    </row>
    <row r="42" spans="1:12" x14ac:dyDescent="0.35">
      <c r="A42" s="83"/>
      <c r="B42" s="83"/>
      <c r="C42" s="83"/>
      <c r="D42" s="83"/>
      <c r="E42" s="83"/>
      <c r="F42" s="83"/>
      <c r="G42" s="84"/>
      <c r="H42" s="83"/>
      <c r="I42" s="84"/>
      <c r="J42" s="84"/>
      <c r="K42" s="84"/>
    </row>
    <row r="45" spans="1:12" x14ac:dyDescent="0.35">
      <c r="F45" s="56"/>
      <c r="H45" s="46"/>
    </row>
    <row r="46" spans="1:12" x14ac:dyDescent="0.35">
      <c r="H46" s="46"/>
    </row>
  </sheetData>
  <mergeCells count="5">
    <mergeCell ref="A26:J26"/>
    <mergeCell ref="A36:E36"/>
    <mergeCell ref="A6:J6"/>
    <mergeCell ref="A16:J16"/>
    <mergeCell ref="A7:J7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5CF6-B907-4BE3-9DC7-D1464833C78A}">
  <dimension ref="A1:K97"/>
  <sheetViews>
    <sheetView topLeftCell="A83" zoomScale="108" workbookViewId="0">
      <selection activeCell="E92" sqref="E92:E93"/>
    </sheetView>
  </sheetViews>
  <sheetFormatPr baseColWidth="10" defaultRowHeight="14.5" x14ac:dyDescent="0.35"/>
  <cols>
    <col min="1" max="1" width="37.36328125" customWidth="1"/>
    <col min="3" max="3" width="10.90625" style="20"/>
    <col min="5" max="5" width="10.90625" style="20"/>
    <col min="10" max="10" width="10.90625" style="32"/>
  </cols>
  <sheetData>
    <row r="1" spans="1:11" ht="21" x14ac:dyDescent="0.5">
      <c r="A1" s="21" t="s">
        <v>11</v>
      </c>
      <c r="B1" s="52">
        <f>'Carbones à répercuter'!E3</f>
        <v>2022</v>
      </c>
    </row>
    <row r="2" spans="1:11" ht="15" customHeight="1" x14ac:dyDescent="0.35">
      <c r="A2" s="64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35">
      <c r="A3" s="66" t="s">
        <v>53</v>
      </c>
      <c r="B3" s="79"/>
      <c r="C3" s="1"/>
      <c r="D3" s="1"/>
      <c r="E3" s="1"/>
      <c r="F3" s="1"/>
      <c r="G3" s="1"/>
      <c r="H3" s="1"/>
      <c r="I3" s="1"/>
      <c r="J3" s="1"/>
      <c r="K3" s="1"/>
    </row>
    <row r="4" spans="1:11" ht="52" x14ac:dyDescent="0.35">
      <c r="A4" s="22" t="s">
        <v>12</v>
      </c>
      <c r="B4" s="19" t="s">
        <v>3</v>
      </c>
      <c r="C4" s="109" t="s">
        <v>71</v>
      </c>
      <c r="D4" s="19" t="s">
        <v>72</v>
      </c>
      <c r="E4" s="19" t="s">
        <v>73</v>
      </c>
      <c r="F4" s="19" t="s">
        <v>74</v>
      </c>
      <c r="G4" s="109" t="s">
        <v>75</v>
      </c>
      <c r="J4" s="6" t="s">
        <v>6</v>
      </c>
    </row>
    <row r="5" spans="1:11" ht="26.5" x14ac:dyDescent="0.35">
      <c r="A5" s="23" t="s">
        <v>66</v>
      </c>
      <c r="B5" s="27"/>
      <c r="C5" s="33"/>
      <c r="D5" s="28"/>
      <c r="E5" s="33"/>
      <c r="F5" s="28"/>
      <c r="G5" s="24"/>
      <c r="J5" s="7"/>
    </row>
    <row r="6" spans="1:11" ht="26.5" x14ac:dyDescent="0.35">
      <c r="A6" s="23" t="s">
        <v>29</v>
      </c>
      <c r="B6" s="27"/>
      <c r="C6" s="33"/>
      <c r="D6" s="28"/>
      <c r="E6" s="33"/>
      <c r="F6" s="28"/>
      <c r="G6" s="24"/>
      <c r="J6" s="7"/>
    </row>
    <row r="7" spans="1:11" x14ac:dyDescent="0.35">
      <c r="A7" s="25" t="s">
        <v>13</v>
      </c>
      <c r="B7" s="27"/>
      <c r="C7" s="17"/>
      <c r="D7" s="27"/>
      <c r="E7" s="16"/>
      <c r="F7" s="27"/>
      <c r="G7" s="4"/>
      <c r="J7" s="7"/>
    </row>
    <row r="8" spans="1:11" x14ac:dyDescent="0.35">
      <c r="A8" s="26" t="s">
        <v>14</v>
      </c>
      <c r="B8" s="27"/>
      <c r="C8" s="17" t="s">
        <v>5</v>
      </c>
      <c r="D8" s="27"/>
      <c r="E8" s="16"/>
      <c r="F8" s="27">
        <v>5000</v>
      </c>
      <c r="G8" s="4">
        <f>(F8*J8)+E8</f>
        <v>500</v>
      </c>
      <c r="J8" s="7">
        <v>0.1</v>
      </c>
    </row>
    <row r="9" spans="1:11" x14ac:dyDescent="0.35">
      <c r="A9" s="26" t="s">
        <v>61</v>
      </c>
      <c r="B9" s="27"/>
      <c r="C9" s="17" t="s">
        <v>7</v>
      </c>
      <c r="D9" s="27"/>
      <c r="E9" s="16"/>
      <c r="F9" s="27">
        <v>500</v>
      </c>
      <c r="G9" s="4">
        <f t="shared" ref="G9:G33" si="0">(F9*J9)+E9</f>
        <v>3800</v>
      </c>
      <c r="J9" s="7">
        <v>7.6</v>
      </c>
    </row>
    <row r="10" spans="1:11" x14ac:dyDescent="0.35">
      <c r="A10" s="26"/>
      <c r="B10" s="27"/>
      <c r="C10" s="17"/>
      <c r="D10" s="27"/>
      <c r="E10" s="16"/>
      <c r="F10" s="27"/>
      <c r="G10" s="4"/>
      <c r="J10" s="7"/>
    </row>
    <row r="11" spans="1:11" x14ac:dyDescent="0.35">
      <c r="A11" s="26"/>
      <c r="B11" s="27"/>
      <c r="C11" s="17"/>
      <c r="D11" s="27"/>
      <c r="E11" s="16"/>
      <c r="F11" s="27"/>
      <c r="G11" s="4"/>
      <c r="J11" s="7"/>
    </row>
    <row r="12" spans="1:11" x14ac:dyDescent="0.35">
      <c r="A12" s="26"/>
      <c r="B12" s="27"/>
      <c r="C12" s="17"/>
      <c r="D12" s="27"/>
      <c r="E12" s="16"/>
      <c r="F12" s="27"/>
      <c r="G12" s="4"/>
      <c r="J12" s="7"/>
    </row>
    <row r="13" spans="1:11" x14ac:dyDescent="0.35">
      <c r="A13" s="29" t="s">
        <v>15</v>
      </c>
      <c r="B13" s="27"/>
      <c r="C13" s="17"/>
      <c r="D13" s="27"/>
      <c r="E13" s="16"/>
      <c r="F13" s="27"/>
      <c r="G13" s="4">
        <f t="shared" si="0"/>
        <v>0</v>
      </c>
      <c r="J13" s="7"/>
    </row>
    <row r="14" spans="1:11" x14ac:dyDescent="0.35">
      <c r="A14" s="5"/>
      <c r="B14" s="27"/>
      <c r="C14" s="17"/>
      <c r="D14" s="27"/>
      <c r="E14" s="16"/>
      <c r="F14" s="27"/>
      <c r="G14" s="4"/>
      <c r="J14" s="7"/>
    </row>
    <row r="15" spans="1:11" x14ac:dyDescent="0.35">
      <c r="A15" s="5"/>
      <c r="B15" s="27"/>
      <c r="C15" s="17"/>
      <c r="D15" s="27"/>
      <c r="E15" s="16"/>
      <c r="F15" s="27"/>
      <c r="G15" s="4"/>
      <c r="J15" s="7"/>
    </row>
    <row r="16" spans="1:11" x14ac:dyDescent="0.35">
      <c r="A16" s="30" t="s">
        <v>16</v>
      </c>
      <c r="B16" s="27"/>
      <c r="C16" s="17"/>
      <c r="D16" s="27"/>
      <c r="E16" s="16"/>
      <c r="F16" s="27"/>
      <c r="G16" s="4"/>
      <c r="J16" s="7"/>
    </row>
    <row r="17" spans="1:10" x14ac:dyDescent="0.35">
      <c r="A17" s="5" t="s">
        <v>43</v>
      </c>
      <c r="B17" s="27"/>
      <c r="C17" s="17" t="s">
        <v>24</v>
      </c>
      <c r="D17" s="27"/>
      <c r="E17" s="16"/>
      <c r="F17" s="27"/>
      <c r="G17" s="4">
        <f t="shared" si="0"/>
        <v>0</v>
      </c>
      <c r="J17" s="34">
        <v>7.0000000000000007E-2</v>
      </c>
    </row>
    <row r="18" spans="1:10" x14ac:dyDescent="0.35">
      <c r="A18" s="5" t="s">
        <v>44</v>
      </c>
      <c r="B18" s="27"/>
      <c r="C18" s="17" t="s">
        <v>24</v>
      </c>
      <c r="D18" s="27"/>
      <c r="E18" s="16"/>
      <c r="F18" s="27"/>
      <c r="G18" s="4">
        <f t="shared" si="0"/>
        <v>0</v>
      </c>
      <c r="J18" s="34">
        <v>7.0000000000000007E-2</v>
      </c>
    </row>
    <row r="19" spans="1:10" x14ac:dyDescent="0.35">
      <c r="A19" s="5" t="s">
        <v>4</v>
      </c>
      <c r="B19" s="27"/>
      <c r="C19" s="17" t="s">
        <v>25</v>
      </c>
      <c r="D19" s="27"/>
      <c r="E19" s="16"/>
      <c r="F19" s="27"/>
      <c r="G19" s="4">
        <f t="shared" si="0"/>
        <v>0</v>
      </c>
      <c r="J19" s="34">
        <v>2.5</v>
      </c>
    </row>
    <row r="20" spans="1:10" x14ac:dyDescent="0.35">
      <c r="A20" s="5" t="s">
        <v>17</v>
      </c>
      <c r="B20" s="27"/>
      <c r="C20" s="17" t="s">
        <v>26</v>
      </c>
      <c r="D20" s="27"/>
      <c r="E20" s="16"/>
      <c r="F20" s="27">
        <v>15</v>
      </c>
      <c r="G20" s="4">
        <f t="shared" si="0"/>
        <v>37.5</v>
      </c>
      <c r="J20" s="34">
        <v>2.5</v>
      </c>
    </row>
    <row r="21" spans="1:10" x14ac:dyDescent="0.35">
      <c r="A21" s="5" t="s">
        <v>18</v>
      </c>
      <c r="B21" s="27"/>
      <c r="C21" s="17" t="s">
        <v>7</v>
      </c>
      <c r="D21" s="27"/>
      <c r="E21" s="16"/>
      <c r="F21" s="27">
        <v>4</v>
      </c>
      <c r="G21" s="4">
        <f t="shared" si="0"/>
        <v>9.4</v>
      </c>
      <c r="J21" s="34">
        <v>2.35</v>
      </c>
    </row>
    <row r="22" spans="1:10" x14ac:dyDescent="0.35">
      <c r="A22" s="29"/>
      <c r="B22" s="27"/>
      <c r="C22" s="17"/>
      <c r="D22" s="27"/>
      <c r="E22" s="16"/>
      <c r="F22" s="27"/>
      <c r="G22" s="4"/>
      <c r="J22" s="7"/>
    </row>
    <row r="23" spans="1:10" x14ac:dyDescent="0.35">
      <c r="A23" s="30"/>
      <c r="B23" s="27"/>
      <c r="C23" s="17"/>
      <c r="D23" s="27"/>
      <c r="E23" s="16"/>
      <c r="F23" s="27"/>
      <c r="G23" s="4"/>
      <c r="J23" s="7"/>
    </row>
    <row r="24" spans="1:10" x14ac:dyDescent="0.35">
      <c r="A24" s="5"/>
      <c r="B24" s="27"/>
      <c r="C24" s="17"/>
      <c r="D24" s="27"/>
      <c r="E24" s="16"/>
      <c r="F24" s="27"/>
      <c r="G24" s="4"/>
      <c r="J24" s="7"/>
    </row>
    <row r="25" spans="1:10" x14ac:dyDescent="0.35">
      <c r="A25" s="5"/>
      <c r="B25" s="27"/>
      <c r="C25" s="17"/>
      <c r="D25" s="27"/>
      <c r="E25" s="16"/>
      <c r="F25" s="27"/>
      <c r="G25" s="4"/>
      <c r="J25" s="7"/>
    </row>
    <row r="26" spans="1:10" x14ac:dyDescent="0.35">
      <c r="A26" s="5"/>
      <c r="B26" s="27"/>
      <c r="C26" s="17"/>
      <c r="D26" s="27"/>
      <c r="E26" s="16"/>
      <c r="F26" s="27"/>
      <c r="G26" s="4"/>
      <c r="J26" s="7"/>
    </row>
    <row r="27" spans="1:10" x14ac:dyDescent="0.35">
      <c r="A27" s="31"/>
      <c r="B27" s="27"/>
      <c r="C27" s="17"/>
      <c r="D27" s="27"/>
      <c r="E27" s="16"/>
      <c r="F27" s="27"/>
      <c r="G27" s="4"/>
      <c r="J27" s="7"/>
    </row>
    <row r="28" spans="1:10" x14ac:dyDescent="0.35">
      <c r="A28" s="30" t="s">
        <v>19</v>
      </c>
      <c r="B28" s="27"/>
      <c r="C28" s="17"/>
      <c r="D28" s="27"/>
      <c r="E28" s="16"/>
      <c r="F28" s="27"/>
      <c r="G28" s="4">
        <f t="shared" si="0"/>
        <v>0</v>
      </c>
      <c r="J28" s="7"/>
    </row>
    <row r="29" spans="1:10" x14ac:dyDescent="0.35">
      <c r="A29" s="5" t="s">
        <v>20</v>
      </c>
      <c r="B29" s="27"/>
      <c r="C29" s="17" t="s">
        <v>27</v>
      </c>
      <c r="D29" s="27"/>
      <c r="E29" s="16"/>
      <c r="F29" s="27"/>
      <c r="G29" s="4">
        <f t="shared" si="0"/>
        <v>0</v>
      </c>
      <c r="J29" s="7">
        <v>300</v>
      </c>
    </row>
    <row r="30" spans="1:10" x14ac:dyDescent="0.35">
      <c r="A30" s="5" t="s">
        <v>21</v>
      </c>
      <c r="B30" s="27">
        <v>2000</v>
      </c>
      <c r="C30" s="17" t="s">
        <v>27</v>
      </c>
      <c r="D30" s="27">
        <v>1</v>
      </c>
      <c r="E30" s="16">
        <v>155</v>
      </c>
      <c r="F30" s="27">
        <v>1</v>
      </c>
      <c r="G30" s="4">
        <f t="shared" si="0"/>
        <v>305</v>
      </c>
      <c r="J30" s="7">
        <v>150</v>
      </c>
    </row>
    <row r="31" spans="1:10" x14ac:dyDescent="0.35">
      <c r="A31" s="29" t="s">
        <v>22</v>
      </c>
      <c r="B31" s="27"/>
      <c r="C31" s="17"/>
      <c r="D31" s="27"/>
      <c r="E31" s="16"/>
      <c r="F31" s="27"/>
      <c r="G31" s="4"/>
      <c r="J31" s="7"/>
    </row>
    <row r="32" spans="1:10" ht="26.5" x14ac:dyDescent="0.35">
      <c r="A32" s="111" t="s">
        <v>79</v>
      </c>
      <c r="B32" s="27"/>
      <c r="C32" s="17"/>
      <c r="D32" s="27"/>
      <c r="E32" s="16"/>
      <c r="F32" s="27"/>
      <c r="G32" s="4">
        <f t="shared" si="0"/>
        <v>0</v>
      </c>
      <c r="J32" s="7"/>
    </row>
    <row r="33" spans="1:11" ht="26.5" x14ac:dyDescent="0.35">
      <c r="A33" s="35" t="s">
        <v>23</v>
      </c>
      <c r="B33" s="27">
        <v>1000</v>
      </c>
      <c r="C33" s="17" t="s">
        <v>5</v>
      </c>
      <c r="D33" s="27"/>
      <c r="E33" s="16"/>
      <c r="F33" s="27">
        <v>1000</v>
      </c>
      <c r="G33" s="4">
        <f t="shared" si="0"/>
        <v>500</v>
      </c>
      <c r="J33" s="7">
        <v>0.5</v>
      </c>
    </row>
    <row r="34" spans="1:11" x14ac:dyDescent="0.35">
      <c r="A34" s="35"/>
      <c r="B34" s="27"/>
      <c r="C34" s="17"/>
      <c r="D34" s="27"/>
      <c r="E34" s="16"/>
      <c r="F34" s="27"/>
      <c r="G34" s="4"/>
    </row>
    <row r="35" spans="1:11" x14ac:dyDescent="0.35">
      <c r="A35" s="35"/>
      <c r="B35" s="4"/>
      <c r="C35" s="17"/>
      <c r="D35" s="4"/>
      <c r="E35" s="16"/>
      <c r="F35" s="4"/>
      <c r="G35" s="4"/>
    </row>
    <row r="36" spans="1:11" ht="15" customHeight="1" x14ac:dyDescent="0.35">
      <c r="A36" s="64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" customHeight="1" thickBot="1" x14ac:dyDescent="0.4">
      <c r="A37" s="2" t="s">
        <v>54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9.5" thickBot="1" x14ac:dyDescent="0.4">
      <c r="A38" s="96" t="s">
        <v>63</v>
      </c>
      <c r="B38" s="97">
        <v>1000</v>
      </c>
    </row>
    <row r="39" spans="1:11" ht="15" thickBot="1" x14ac:dyDescent="0.4">
      <c r="A39" s="96" t="s">
        <v>89</v>
      </c>
      <c r="B39" s="125">
        <v>0.9</v>
      </c>
    </row>
    <row r="40" spans="1:11" x14ac:dyDescent="0.35">
      <c r="A40" s="96"/>
      <c r="B40" s="124"/>
    </row>
    <row r="41" spans="1:11" x14ac:dyDescent="0.35">
      <c r="A41" s="95"/>
      <c r="B41" s="56"/>
    </row>
    <row r="42" spans="1:11" s="53" customFormat="1" ht="30" customHeight="1" thickBot="1" x14ac:dyDescent="0.4">
      <c r="A42" s="86" t="s">
        <v>57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</row>
    <row r="43" spans="1:11" s="53" customFormat="1" ht="29" x14ac:dyDescent="0.35">
      <c r="A43" s="96" t="s">
        <v>88</v>
      </c>
      <c r="B43" s="37"/>
      <c r="C43" s="55"/>
      <c r="D43" s="55"/>
      <c r="E43" s="55"/>
      <c r="F43" s="55"/>
      <c r="G43" s="55"/>
      <c r="H43" s="55"/>
      <c r="I43" s="55"/>
      <c r="J43" s="55"/>
      <c r="K43" s="55"/>
    </row>
    <row r="44" spans="1:11" s="53" customFormat="1" x14ac:dyDescent="0.35">
      <c r="A44" s="67"/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 ht="36" customHeight="1" x14ac:dyDescent="0.35">
      <c r="A45" s="120" t="s">
        <v>67</v>
      </c>
      <c r="B45" s="120"/>
      <c r="C45" s="120"/>
      <c r="D45" s="120"/>
      <c r="E45" s="120"/>
      <c r="F45" s="120"/>
    </row>
    <row r="46" spans="1:11" ht="36" customHeight="1" x14ac:dyDescent="0.35">
      <c r="A46" s="72" t="s">
        <v>68</v>
      </c>
      <c r="B46" s="88">
        <f>B87</f>
        <v>9793.5666666666657</v>
      </c>
      <c r="C46" s="87"/>
      <c r="D46" s="87"/>
      <c r="E46" s="87"/>
      <c r="F46" s="87"/>
    </row>
    <row r="47" spans="1:11" ht="31" customHeight="1" x14ac:dyDescent="0.35">
      <c r="A47" s="98" t="s">
        <v>64</v>
      </c>
      <c r="B47" s="104">
        <f>B38*B39</f>
        <v>900</v>
      </c>
    </row>
    <row r="48" spans="1:11" ht="36" customHeight="1" x14ac:dyDescent="0.35">
      <c r="A48" s="72" t="s">
        <v>69</v>
      </c>
      <c r="B48" s="88">
        <f>B46/(B38*B39)</f>
        <v>10.88174074074074</v>
      </c>
      <c r="C48" s="87"/>
      <c r="D48" s="87"/>
      <c r="E48" s="87"/>
      <c r="F48" s="87"/>
    </row>
    <row r="49" spans="1:6" x14ac:dyDescent="0.35">
      <c r="A49" s="39" t="s">
        <v>58</v>
      </c>
      <c r="B49" s="89">
        <f>B55/(B38*B39)</f>
        <v>5.1944444444444446</v>
      </c>
    </row>
    <row r="50" spans="1:6" ht="29" x14ac:dyDescent="0.35">
      <c r="A50" s="76" t="s">
        <v>59</v>
      </c>
      <c r="B50" s="89">
        <f>(B67+B69+B70+B71)/(B38*B39)</f>
        <v>5.2111111111111108E-2</v>
      </c>
    </row>
    <row r="51" spans="1:6" ht="28.75" customHeight="1" x14ac:dyDescent="0.35">
      <c r="A51" s="76" t="s">
        <v>60</v>
      </c>
      <c r="B51" s="89">
        <f>(B86-B55-B67-B69-B70-B71)/(B38*B39)</f>
        <v>5.6351851851851844</v>
      </c>
    </row>
    <row r="52" spans="1:6" x14ac:dyDescent="0.35">
      <c r="A52" s="72" t="s">
        <v>80</v>
      </c>
      <c r="B52" s="92"/>
    </row>
    <row r="54" spans="1:6" ht="18.5" x14ac:dyDescent="0.35">
      <c r="A54" s="121" t="s">
        <v>81</v>
      </c>
      <c r="B54" s="121"/>
      <c r="C54" s="121"/>
      <c r="D54" s="121"/>
      <c r="E54" s="121"/>
      <c r="F54" s="121"/>
    </row>
    <row r="55" spans="1:6" x14ac:dyDescent="0.35">
      <c r="A55" s="41" t="s">
        <v>28</v>
      </c>
      <c r="B55" s="91">
        <f>'Carbones à répercuter'!C21</f>
        <v>4675</v>
      </c>
    </row>
    <row r="56" spans="1:6" x14ac:dyDescent="0.35">
      <c r="A56" s="41" t="s">
        <v>33</v>
      </c>
      <c r="B56" s="90"/>
    </row>
    <row r="57" spans="1:6" x14ac:dyDescent="0.35">
      <c r="A57" s="42" t="s">
        <v>14</v>
      </c>
      <c r="B57" s="90">
        <f>G8</f>
        <v>500</v>
      </c>
    </row>
    <row r="58" spans="1:6" x14ac:dyDescent="0.35">
      <c r="A58" s="42" t="s">
        <v>45</v>
      </c>
      <c r="B58" s="90">
        <f>G9</f>
        <v>3800</v>
      </c>
    </row>
    <row r="59" spans="1:6" x14ac:dyDescent="0.35">
      <c r="A59" s="42"/>
      <c r="B59" s="90"/>
    </row>
    <row r="60" spans="1:6" x14ac:dyDescent="0.35">
      <c r="A60" s="42"/>
      <c r="B60" s="90"/>
    </row>
    <row r="61" spans="1:6" x14ac:dyDescent="0.35">
      <c r="A61" s="42"/>
      <c r="B61" s="90"/>
    </row>
    <row r="62" spans="1:6" x14ac:dyDescent="0.35">
      <c r="A62" s="42" t="s">
        <v>34</v>
      </c>
      <c r="B62" s="90">
        <f>SUM(B57:B61)</f>
        <v>4300</v>
      </c>
      <c r="C62" s="49"/>
      <c r="E62" s="49"/>
    </row>
    <row r="63" spans="1:6" x14ac:dyDescent="0.35">
      <c r="A63" s="43" t="s">
        <v>15</v>
      </c>
      <c r="B63" s="90"/>
    </row>
    <row r="64" spans="1:6" x14ac:dyDescent="0.35">
      <c r="A64" s="42"/>
      <c r="B64" s="90">
        <f>G14</f>
        <v>0</v>
      </c>
      <c r="F64" s="46"/>
    </row>
    <row r="65" spans="1:2" x14ac:dyDescent="0.35">
      <c r="A65" s="42"/>
      <c r="B65" s="90">
        <f>G15</f>
        <v>0</v>
      </c>
    </row>
    <row r="66" spans="1:2" x14ac:dyDescent="0.35">
      <c r="A66" s="41" t="s">
        <v>16</v>
      </c>
      <c r="B66" s="90"/>
    </row>
    <row r="67" spans="1:2" x14ac:dyDescent="0.35">
      <c r="A67" s="42" t="s">
        <v>43</v>
      </c>
      <c r="B67" s="90">
        <f>G17</f>
        <v>0</v>
      </c>
    </row>
    <row r="68" spans="1:2" x14ac:dyDescent="0.35">
      <c r="A68" s="42" t="s">
        <v>44</v>
      </c>
      <c r="B68" s="90">
        <f>G18</f>
        <v>0</v>
      </c>
    </row>
    <row r="69" spans="1:2" x14ac:dyDescent="0.35">
      <c r="A69" s="42" t="s">
        <v>4</v>
      </c>
      <c r="B69" s="90">
        <f>G19</f>
        <v>0</v>
      </c>
    </row>
    <row r="70" spans="1:2" x14ac:dyDescent="0.35">
      <c r="A70" s="42" t="s">
        <v>17</v>
      </c>
      <c r="B70" s="90">
        <f>G20</f>
        <v>37.5</v>
      </c>
    </row>
    <row r="71" spans="1:2" x14ac:dyDescent="0.35">
      <c r="A71" s="42" t="s">
        <v>18</v>
      </c>
      <c r="B71" s="90">
        <f>G21</f>
        <v>9.4</v>
      </c>
    </row>
    <row r="72" spans="1:2" x14ac:dyDescent="0.35">
      <c r="A72" s="43"/>
      <c r="B72" s="90"/>
    </row>
    <row r="73" spans="1:2" x14ac:dyDescent="0.35">
      <c r="A73" s="41"/>
      <c r="B73" s="90"/>
    </row>
    <row r="74" spans="1:2" x14ac:dyDescent="0.35">
      <c r="A74" s="42"/>
      <c r="B74" s="90"/>
    </row>
    <row r="75" spans="1:2" x14ac:dyDescent="0.35">
      <c r="A75" s="42"/>
      <c r="B75" s="90"/>
    </row>
    <row r="76" spans="1:2" x14ac:dyDescent="0.35">
      <c r="A76" s="44"/>
      <c r="B76" s="90"/>
    </row>
    <row r="77" spans="1:2" x14ac:dyDescent="0.35">
      <c r="A77" s="41"/>
      <c r="B77" s="90"/>
    </row>
    <row r="78" spans="1:2" x14ac:dyDescent="0.35">
      <c r="A78" s="41" t="s">
        <v>19</v>
      </c>
      <c r="B78" s="90"/>
    </row>
    <row r="79" spans="1:2" x14ac:dyDescent="0.35">
      <c r="A79" s="42" t="s">
        <v>20</v>
      </c>
      <c r="B79" s="90">
        <f>G29</f>
        <v>0</v>
      </c>
    </row>
    <row r="80" spans="1:2" x14ac:dyDescent="0.35">
      <c r="A80" s="42" t="s">
        <v>21</v>
      </c>
      <c r="B80" s="90">
        <f>G30</f>
        <v>305</v>
      </c>
    </row>
    <row r="81" spans="1:5" x14ac:dyDescent="0.35">
      <c r="A81" s="43" t="s">
        <v>22</v>
      </c>
      <c r="B81" s="90"/>
    </row>
    <row r="82" spans="1:5" x14ac:dyDescent="0.35">
      <c r="A82" s="42"/>
      <c r="B82" s="90">
        <f>G32</f>
        <v>0</v>
      </c>
    </row>
    <row r="83" spans="1:5" ht="26.5" x14ac:dyDescent="0.35">
      <c r="A83" s="45" t="s">
        <v>23</v>
      </c>
      <c r="B83" s="90">
        <f>G33</f>
        <v>500</v>
      </c>
    </row>
    <row r="84" spans="1:5" x14ac:dyDescent="0.35">
      <c r="A84" s="72" t="s">
        <v>32</v>
      </c>
      <c r="B84" s="91">
        <f>SUM(B55:B83)-B62</f>
        <v>9826.9</v>
      </c>
      <c r="C84" s="49"/>
      <c r="D84" s="46"/>
      <c r="E84" s="49"/>
    </row>
    <row r="85" spans="1:5" x14ac:dyDescent="0.35">
      <c r="A85" s="72" t="s">
        <v>42</v>
      </c>
      <c r="B85" s="91">
        <f>'Carbones à répercuter'!I39</f>
        <v>-33.33333333333303</v>
      </c>
    </row>
    <row r="86" spans="1:5" x14ac:dyDescent="0.35">
      <c r="A86" s="72" t="s">
        <v>46</v>
      </c>
      <c r="B86" s="91">
        <f>B84+B85</f>
        <v>9793.5666666666657</v>
      </c>
    </row>
    <row r="87" spans="1:5" x14ac:dyDescent="0.35">
      <c r="A87" s="72" t="s">
        <v>55</v>
      </c>
      <c r="B87" s="91">
        <f>B86</f>
        <v>9793.5666666666657</v>
      </c>
    </row>
    <row r="88" spans="1:5" ht="29" x14ac:dyDescent="0.35">
      <c r="A88" s="98" t="s">
        <v>90</v>
      </c>
      <c r="B88" s="90">
        <f>B38*B39</f>
        <v>900</v>
      </c>
    </row>
    <row r="89" spans="1:5" x14ac:dyDescent="0.35">
      <c r="A89" s="72" t="s">
        <v>65</v>
      </c>
      <c r="B89" s="91">
        <f>B87/B88</f>
        <v>10.88174074074074</v>
      </c>
    </row>
    <row r="90" spans="1:5" x14ac:dyDescent="0.35">
      <c r="A90" s="72"/>
      <c r="B90" s="91"/>
    </row>
    <row r="92" spans="1:5" ht="18.5" x14ac:dyDescent="0.45">
      <c r="A92" s="80" t="s">
        <v>82</v>
      </c>
    </row>
    <row r="93" spans="1:5" x14ac:dyDescent="0.35">
      <c r="A93" s="83"/>
    </row>
    <row r="94" spans="1:5" x14ac:dyDescent="0.35">
      <c r="A94" s="40" t="s">
        <v>83</v>
      </c>
      <c r="B94" s="93"/>
    </row>
    <row r="95" spans="1:5" x14ac:dyDescent="0.35">
      <c r="A95" s="40" t="s">
        <v>85</v>
      </c>
      <c r="B95" s="93"/>
    </row>
    <row r="96" spans="1:5" x14ac:dyDescent="0.35">
      <c r="A96" s="40" t="s">
        <v>84</v>
      </c>
      <c r="B96" s="93"/>
    </row>
    <row r="97" spans="1:2" x14ac:dyDescent="0.35">
      <c r="A97" s="40" t="s">
        <v>30</v>
      </c>
      <c r="B97" s="93"/>
    </row>
  </sheetData>
  <mergeCells count="2">
    <mergeCell ref="A45:F45"/>
    <mergeCell ref="A54:F54"/>
  </mergeCells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C86EC-593C-435C-A8ED-C362DDD0B9CD}">
  <dimension ref="A1:K109"/>
  <sheetViews>
    <sheetView topLeftCell="A89" workbookViewId="0">
      <selection activeCell="E97" sqref="E97"/>
    </sheetView>
  </sheetViews>
  <sheetFormatPr baseColWidth="10" defaultRowHeight="14.5" x14ac:dyDescent="0.35"/>
  <cols>
    <col min="1" max="1" width="37.36328125" customWidth="1"/>
    <col min="5" max="5" width="10.90625" style="20"/>
    <col min="10" max="10" width="10.90625" style="32"/>
  </cols>
  <sheetData>
    <row r="1" spans="1:11" ht="21" x14ac:dyDescent="0.5">
      <c r="A1" s="21" t="s">
        <v>11</v>
      </c>
      <c r="B1" s="52">
        <f>'Année 1'!B1+1</f>
        <v>2023</v>
      </c>
    </row>
    <row r="2" spans="1:11" ht="30" customHeight="1" x14ac:dyDescent="0.35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20" customHeight="1" x14ac:dyDescent="0.35">
      <c r="A3" s="68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35">
      <c r="A4" s="66" t="s">
        <v>53</v>
      </c>
      <c r="B4" s="79"/>
      <c r="C4" s="1"/>
      <c r="D4" s="1"/>
      <c r="E4" s="1"/>
      <c r="F4" s="1"/>
      <c r="G4" s="1"/>
      <c r="H4" s="1"/>
      <c r="I4" s="1"/>
      <c r="J4" s="1"/>
      <c r="K4" s="1"/>
    </row>
    <row r="5" spans="1:11" ht="65" x14ac:dyDescent="0.35">
      <c r="A5" s="22" t="s">
        <v>12</v>
      </c>
      <c r="B5" s="19" t="s">
        <v>3</v>
      </c>
      <c r="C5" s="109" t="s">
        <v>71</v>
      </c>
      <c r="D5" s="19" t="s">
        <v>72</v>
      </c>
      <c r="E5" s="19" t="s">
        <v>73</v>
      </c>
      <c r="F5" s="19" t="s">
        <v>74</v>
      </c>
      <c r="G5" s="109" t="s">
        <v>75</v>
      </c>
      <c r="J5" s="6" t="s">
        <v>76</v>
      </c>
    </row>
    <row r="6" spans="1:11" ht="26.5" x14ac:dyDescent="0.35">
      <c r="A6" s="23" t="s">
        <v>66</v>
      </c>
      <c r="B6" s="27"/>
      <c r="C6" s="28"/>
      <c r="D6" s="28"/>
      <c r="E6" s="33"/>
      <c r="F6" s="28"/>
      <c r="G6" s="24"/>
      <c r="J6" s="7"/>
    </row>
    <row r="7" spans="1:11" ht="26.5" x14ac:dyDescent="0.35">
      <c r="A7" s="23" t="s">
        <v>29</v>
      </c>
      <c r="B7" s="27"/>
      <c r="C7" s="28"/>
      <c r="D7" s="28"/>
      <c r="E7" s="33"/>
      <c r="F7" s="28"/>
      <c r="G7" s="24"/>
      <c r="J7" s="7"/>
    </row>
    <row r="8" spans="1:11" x14ac:dyDescent="0.35">
      <c r="A8" s="25" t="s">
        <v>13</v>
      </c>
      <c r="B8" s="27"/>
      <c r="C8" s="17"/>
      <c r="D8" s="27"/>
      <c r="E8" s="16"/>
      <c r="F8" s="27"/>
      <c r="G8" s="4"/>
      <c r="J8" s="7"/>
    </row>
    <row r="9" spans="1:11" x14ac:dyDescent="0.35">
      <c r="A9" s="26" t="s">
        <v>14</v>
      </c>
      <c r="B9" s="27"/>
      <c r="C9" s="17" t="s">
        <v>5</v>
      </c>
      <c r="D9" s="27"/>
      <c r="E9" s="16"/>
      <c r="F9" s="27">
        <v>0</v>
      </c>
      <c r="G9" s="4">
        <f>(F9*J9)+E9</f>
        <v>0</v>
      </c>
      <c r="J9" s="7">
        <v>0.1</v>
      </c>
    </row>
    <row r="10" spans="1:11" x14ac:dyDescent="0.35">
      <c r="A10" s="26" t="s">
        <v>61</v>
      </c>
      <c r="B10" s="27"/>
      <c r="C10" s="17" t="s">
        <v>7</v>
      </c>
      <c r="D10" s="27"/>
      <c r="E10" s="16"/>
      <c r="F10" s="27">
        <v>300</v>
      </c>
      <c r="G10" s="4">
        <f t="shared" ref="G10:G34" si="0">(F10*J10)+E10</f>
        <v>2280</v>
      </c>
      <c r="J10" s="7">
        <v>7.6</v>
      </c>
    </row>
    <row r="11" spans="1:11" x14ac:dyDescent="0.35">
      <c r="A11" s="26"/>
      <c r="B11" s="27"/>
      <c r="C11" s="17"/>
      <c r="D11" s="27"/>
      <c r="E11" s="16"/>
      <c r="F11" s="27"/>
      <c r="G11" s="4"/>
      <c r="J11" s="7"/>
    </row>
    <row r="12" spans="1:11" x14ac:dyDescent="0.35">
      <c r="A12" s="26"/>
      <c r="B12" s="27"/>
      <c r="C12" s="17"/>
      <c r="D12" s="27"/>
      <c r="E12" s="16"/>
      <c r="F12" s="27"/>
      <c r="G12" s="4"/>
      <c r="J12" s="7"/>
    </row>
    <row r="13" spans="1:11" x14ac:dyDescent="0.35">
      <c r="A13" s="26"/>
      <c r="B13" s="27"/>
      <c r="C13" s="17"/>
      <c r="D13" s="27"/>
      <c r="E13" s="16"/>
      <c r="F13" s="27"/>
      <c r="G13" s="4"/>
      <c r="J13" s="7"/>
    </row>
    <row r="14" spans="1:11" x14ac:dyDescent="0.35">
      <c r="A14" s="29" t="s">
        <v>15</v>
      </c>
      <c r="B14" s="27"/>
      <c r="C14" s="17"/>
      <c r="D14" s="27"/>
      <c r="E14" s="16"/>
      <c r="F14" s="27"/>
      <c r="G14" s="4">
        <f t="shared" si="0"/>
        <v>0</v>
      </c>
      <c r="J14" s="7"/>
    </row>
    <row r="15" spans="1:11" x14ac:dyDescent="0.35">
      <c r="A15" s="5"/>
      <c r="B15" s="27"/>
      <c r="C15" s="17"/>
      <c r="D15" s="27"/>
      <c r="E15" s="16"/>
      <c r="F15" s="27"/>
      <c r="G15" s="4"/>
      <c r="J15" s="7"/>
    </row>
    <row r="16" spans="1:11" x14ac:dyDescent="0.35">
      <c r="A16" s="5"/>
      <c r="B16" s="27"/>
      <c r="C16" s="17"/>
      <c r="D16" s="27"/>
      <c r="E16" s="16"/>
      <c r="F16" s="27"/>
      <c r="G16" s="4"/>
      <c r="J16" s="7"/>
    </row>
    <row r="17" spans="1:10" x14ac:dyDescent="0.35">
      <c r="A17" s="30" t="s">
        <v>16</v>
      </c>
      <c r="B17" s="27"/>
      <c r="C17" s="17"/>
      <c r="D17" s="27"/>
      <c r="E17" s="16"/>
      <c r="F17" s="27"/>
      <c r="G17" s="4">
        <f t="shared" si="0"/>
        <v>0</v>
      </c>
      <c r="J17" s="7"/>
    </row>
    <row r="18" spans="1:10" x14ac:dyDescent="0.35">
      <c r="A18" s="5" t="s">
        <v>43</v>
      </c>
      <c r="B18" s="27"/>
      <c r="C18" s="17" t="s">
        <v>24</v>
      </c>
      <c r="D18" s="27"/>
      <c r="E18" s="16"/>
      <c r="F18" s="27">
        <v>10000</v>
      </c>
      <c r="G18" s="4">
        <f t="shared" si="0"/>
        <v>700.00000000000011</v>
      </c>
      <c r="J18" s="34">
        <v>7.0000000000000007E-2</v>
      </c>
    </row>
    <row r="19" spans="1:10" x14ac:dyDescent="0.35">
      <c r="A19" s="5" t="s">
        <v>44</v>
      </c>
      <c r="B19" s="27"/>
      <c r="C19" s="17" t="s">
        <v>24</v>
      </c>
      <c r="D19" s="27"/>
      <c r="E19" s="16"/>
      <c r="F19" s="27">
        <v>1000</v>
      </c>
      <c r="G19" s="4">
        <f t="shared" si="0"/>
        <v>70</v>
      </c>
      <c r="J19" s="34">
        <v>7.0000000000000007E-2</v>
      </c>
    </row>
    <row r="20" spans="1:10" x14ac:dyDescent="0.35">
      <c r="A20" s="5" t="s">
        <v>4</v>
      </c>
      <c r="B20" s="27"/>
      <c r="C20" s="17" t="s">
        <v>25</v>
      </c>
      <c r="D20" s="27"/>
      <c r="E20" s="16"/>
      <c r="F20" s="27">
        <v>500</v>
      </c>
      <c r="G20" s="4">
        <f t="shared" si="0"/>
        <v>1250</v>
      </c>
      <c r="J20" s="34">
        <v>2.5</v>
      </c>
    </row>
    <row r="21" spans="1:10" x14ac:dyDescent="0.35">
      <c r="A21" s="5" t="s">
        <v>17</v>
      </c>
      <c r="B21" s="27"/>
      <c r="C21" s="17" t="s">
        <v>26</v>
      </c>
      <c r="D21" s="27"/>
      <c r="E21" s="16"/>
      <c r="F21" s="27">
        <v>10</v>
      </c>
      <c r="G21" s="4">
        <f t="shared" si="0"/>
        <v>25</v>
      </c>
      <c r="J21" s="34">
        <v>2.5</v>
      </c>
    </row>
    <row r="22" spans="1:10" x14ac:dyDescent="0.35">
      <c r="A22" s="5" t="s">
        <v>18</v>
      </c>
      <c r="B22" s="27"/>
      <c r="C22" s="17" t="s">
        <v>7</v>
      </c>
      <c r="D22" s="27"/>
      <c r="E22" s="16"/>
      <c r="F22" s="27">
        <v>20</v>
      </c>
      <c r="G22" s="4">
        <f t="shared" si="0"/>
        <v>47</v>
      </c>
      <c r="J22" s="34">
        <v>2.35</v>
      </c>
    </row>
    <row r="23" spans="1:10" x14ac:dyDescent="0.35">
      <c r="A23" s="29"/>
      <c r="B23" s="27"/>
      <c r="C23" s="17"/>
      <c r="D23" s="27"/>
      <c r="E23" s="16"/>
      <c r="F23" s="27"/>
      <c r="G23" s="4"/>
      <c r="J23" s="7"/>
    </row>
    <row r="24" spans="1:10" x14ac:dyDescent="0.35">
      <c r="A24" s="30"/>
      <c r="B24" s="27"/>
      <c r="C24" s="17"/>
      <c r="D24" s="27"/>
      <c r="E24" s="16"/>
      <c r="F24" s="27"/>
      <c r="G24" s="4"/>
      <c r="J24" s="7"/>
    </row>
    <row r="25" spans="1:10" x14ac:dyDescent="0.35">
      <c r="A25" s="5"/>
      <c r="B25" s="27"/>
      <c r="C25" s="17"/>
      <c r="D25" s="27"/>
      <c r="E25" s="16"/>
      <c r="F25" s="27"/>
      <c r="G25" s="4"/>
      <c r="J25" s="7"/>
    </row>
    <row r="26" spans="1:10" x14ac:dyDescent="0.35">
      <c r="A26" s="5"/>
      <c r="B26" s="27"/>
      <c r="C26" s="17"/>
      <c r="D26" s="27"/>
      <c r="E26" s="16"/>
      <c r="F26" s="27"/>
      <c r="G26" s="4"/>
      <c r="J26" s="7"/>
    </row>
    <row r="27" spans="1:10" x14ac:dyDescent="0.35">
      <c r="A27" s="5"/>
      <c r="B27" s="27"/>
      <c r="C27" s="17"/>
      <c r="D27" s="27"/>
      <c r="E27" s="16"/>
      <c r="F27" s="27"/>
      <c r="G27" s="4"/>
      <c r="J27" s="7"/>
    </row>
    <row r="28" spans="1:10" x14ac:dyDescent="0.35">
      <c r="A28" s="31"/>
      <c r="B28" s="27"/>
      <c r="C28" s="17"/>
      <c r="D28" s="27"/>
      <c r="E28" s="16"/>
      <c r="F28" s="27"/>
      <c r="G28" s="4"/>
      <c r="J28" s="7"/>
    </row>
    <row r="29" spans="1:10" x14ac:dyDescent="0.35">
      <c r="A29" s="30" t="s">
        <v>19</v>
      </c>
      <c r="B29" s="27"/>
      <c r="C29" s="17"/>
      <c r="D29" s="27"/>
      <c r="E29" s="16"/>
      <c r="F29" s="27"/>
      <c r="G29" s="4"/>
      <c r="J29" s="7"/>
    </row>
    <row r="30" spans="1:10" x14ac:dyDescent="0.35">
      <c r="A30" s="5" t="s">
        <v>20</v>
      </c>
      <c r="B30" s="27">
        <v>5000</v>
      </c>
      <c r="C30" s="17" t="s">
        <v>27</v>
      </c>
      <c r="D30" s="27"/>
      <c r="E30" s="16"/>
      <c r="F30" s="27">
        <v>4</v>
      </c>
      <c r="G30" s="4">
        <f t="shared" si="0"/>
        <v>1200</v>
      </c>
      <c r="J30" s="7">
        <v>300</v>
      </c>
    </row>
    <row r="31" spans="1:10" x14ac:dyDescent="0.35">
      <c r="A31" s="5" t="s">
        <v>21</v>
      </c>
      <c r="B31" s="27">
        <v>1500</v>
      </c>
      <c r="C31" s="17" t="s">
        <v>27</v>
      </c>
      <c r="D31" s="27"/>
      <c r="E31" s="16"/>
      <c r="F31" s="27">
        <v>1</v>
      </c>
      <c r="G31" s="4">
        <f t="shared" si="0"/>
        <v>150</v>
      </c>
      <c r="J31" s="7">
        <v>150</v>
      </c>
    </row>
    <row r="32" spans="1:10" x14ac:dyDescent="0.35">
      <c r="A32" s="29" t="s">
        <v>22</v>
      </c>
      <c r="B32" s="27"/>
      <c r="C32" s="17"/>
      <c r="D32" s="27"/>
      <c r="E32" s="16"/>
      <c r="F32" s="27"/>
      <c r="G32" s="4"/>
      <c r="J32" s="7"/>
    </row>
    <row r="33" spans="1:11" ht="26.5" x14ac:dyDescent="0.35">
      <c r="A33" s="111" t="s">
        <v>79</v>
      </c>
      <c r="B33" s="27"/>
      <c r="C33" s="17"/>
      <c r="D33" s="27">
        <v>2</v>
      </c>
      <c r="E33" s="16">
        <v>500</v>
      </c>
      <c r="F33" s="27"/>
      <c r="G33" s="4">
        <f t="shared" si="0"/>
        <v>500</v>
      </c>
      <c r="J33" s="7"/>
    </row>
    <row r="34" spans="1:11" ht="26.5" x14ac:dyDescent="0.35">
      <c r="A34" s="35" t="s">
        <v>23</v>
      </c>
      <c r="B34" s="27">
        <v>2000</v>
      </c>
      <c r="C34" s="17" t="s">
        <v>5</v>
      </c>
      <c r="D34" s="27"/>
      <c r="E34" s="16"/>
      <c r="F34" s="27">
        <v>2000</v>
      </c>
      <c r="G34" s="4">
        <f t="shared" si="0"/>
        <v>1000</v>
      </c>
      <c r="J34" s="7">
        <v>0.5</v>
      </c>
    </row>
    <row r="35" spans="1:11" x14ac:dyDescent="0.35">
      <c r="A35" s="35"/>
      <c r="B35" s="27"/>
      <c r="C35" s="17"/>
      <c r="D35" s="27"/>
      <c r="E35" s="16"/>
      <c r="F35" s="27"/>
      <c r="G35" s="4"/>
    </row>
    <row r="36" spans="1:11" x14ac:dyDescent="0.35">
      <c r="A36" s="35"/>
      <c r="B36" s="4"/>
      <c r="C36" s="17"/>
      <c r="D36" s="4"/>
      <c r="E36" s="16"/>
      <c r="F36" s="4"/>
      <c r="G36" s="4"/>
    </row>
    <row r="38" spans="1:11" ht="15" customHeight="1" thickBot="1" x14ac:dyDescent="0.4">
      <c r="A38" s="117" t="s">
        <v>54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spans="1:11" ht="29.5" thickBot="1" x14ac:dyDescent="0.4">
      <c r="A39" s="96" t="s">
        <v>63</v>
      </c>
      <c r="B39" s="97">
        <v>1000</v>
      </c>
    </row>
    <row r="40" spans="1:11" ht="15" thickBot="1" x14ac:dyDescent="0.4">
      <c r="A40" s="96" t="s">
        <v>89</v>
      </c>
      <c r="B40" s="126">
        <v>0.9</v>
      </c>
    </row>
    <row r="41" spans="1:11" x14ac:dyDescent="0.35">
      <c r="A41" s="95"/>
      <c r="B41" s="124"/>
    </row>
    <row r="42" spans="1:11" x14ac:dyDescent="0.35">
      <c r="A42" s="36"/>
      <c r="B42" s="56"/>
    </row>
    <row r="43" spans="1:11" x14ac:dyDescent="0.35">
      <c r="A43" s="38"/>
      <c r="B43" s="56"/>
    </row>
    <row r="44" spans="1:11" ht="29.5" thickBot="1" x14ac:dyDescent="0.4">
      <c r="A44" s="86" t="s">
        <v>57</v>
      </c>
      <c r="B44" s="56"/>
    </row>
    <row r="45" spans="1:11" s="53" customFormat="1" ht="29.5" thickBot="1" x14ac:dyDescent="0.4">
      <c r="A45" s="96" t="s">
        <v>88</v>
      </c>
      <c r="B45" s="77"/>
      <c r="C45" s="55"/>
      <c r="D45" s="55"/>
      <c r="E45" s="55"/>
      <c r="F45" s="55"/>
      <c r="G45" s="55"/>
      <c r="H45" s="55"/>
      <c r="I45" s="55"/>
      <c r="J45" s="55"/>
      <c r="K45" s="55"/>
    </row>
    <row r="46" spans="1:11" s="53" customFormat="1" x14ac:dyDescent="0.35">
      <c r="A46" s="66"/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 s="53" customFormat="1" x14ac:dyDescent="0.35">
      <c r="A47" s="66"/>
      <c r="B47" s="55"/>
      <c r="C47" s="55"/>
      <c r="D47" s="55"/>
      <c r="E47" s="55"/>
      <c r="F47" s="55"/>
      <c r="G47" s="55"/>
      <c r="H47" s="55"/>
      <c r="I47" s="55"/>
      <c r="J47" s="55"/>
      <c r="K47" s="55"/>
    </row>
    <row r="48" spans="1:11" ht="36" customHeight="1" x14ac:dyDescent="0.35">
      <c r="A48" s="120" t="s">
        <v>67</v>
      </c>
      <c r="B48" s="120"/>
      <c r="C48" s="120"/>
      <c r="D48" s="120"/>
      <c r="E48" s="120"/>
      <c r="F48" s="120"/>
    </row>
    <row r="49" spans="1:11" ht="36" customHeight="1" x14ac:dyDescent="0.35">
      <c r="A49" s="72" t="s">
        <v>68</v>
      </c>
      <c r="B49" s="88">
        <f>B90</f>
        <v>16163.666666666668</v>
      </c>
      <c r="C49" s="87"/>
      <c r="D49" s="87"/>
      <c r="E49" s="87"/>
      <c r="F49" s="87"/>
    </row>
    <row r="50" spans="1:11" ht="31" customHeight="1" x14ac:dyDescent="0.35">
      <c r="A50" s="98" t="s">
        <v>64</v>
      </c>
      <c r="B50" s="105">
        <f>B39*B40</f>
        <v>900</v>
      </c>
    </row>
    <row r="51" spans="1:11" ht="36" customHeight="1" x14ac:dyDescent="0.35">
      <c r="A51" s="72" t="s">
        <v>69</v>
      </c>
      <c r="B51" s="88">
        <f>B49/(B39*B40)</f>
        <v>17.959629629629632</v>
      </c>
      <c r="C51" s="87"/>
      <c r="D51" s="87"/>
      <c r="E51" s="87"/>
      <c r="F51" s="87"/>
    </row>
    <row r="52" spans="1:11" x14ac:dyDescent="0.35">
      <c r="A52" s="39" t="s">
        <v>58</v>
      </c>
      <c r="B52" s="89">
        <f>B58/(B39*B40)</f>
        <v>5.1944444444444446</v>
      </c>
      <c r="C52" s="83"/>
      <c r="D52" s="83"/>
      <c r="E52" s="90"/>
      <c r="F52" s="83"/>
    </row>
    <row r="53" spans="1:11" ht="29" x14ac:dyDescent="0.35">
      <c r="A53" s="76" t="s">
        <v>59</v>
      </c>
      <c r="B53" s="89">
        <f>(B70+B72+B73+B74)/(B39*B40)</f>
        <v>2.2466666666666666</v>
      </c>
      <c r="C53" s="83"/>
      <c r="D53" s="83"/>
      <c r="E53" s="90"/>
      <c r="F53" s="83"/>
    </row>
    <row r="54" spans="1:11" ht="28.75" customHeight="1" x14ac:dyDescent="0.35">
      <c r="A54" s="76" t="s">
        <v>60</v>
      </c>
      <c r="B54" s="89">
        <f>(B89-B58-B70-B72-B73-B74)/(B39*B40)</f>
        <v>10.518518518518519</v>
      </c>
      <c r="C54" s="83"/>
      <c r="D54" s="83"/>
      <c r="E54" s="90"/>
      <c r="F54" s="83"/>
    </row>
    <row r="55" spans="1:11" x14ac:dyDescent="0.35">
      <c r="A55" s="72" t="s">
        <v>80</v>
      </c>
      <c r="B55" s="91">
        <f>B100</f>
        <v>-4092.6</v>
      </c>
      <c r="C55" s="83"/>
      <c r="D55" s="83"/>
      <c r="E55" s="90"/>
      <c r="F55" s="83"/>
    </row>
    <row r="56" spans="1:11" s="53" customFormat="1" ht="2.5" customHeight="1" x14ac:dyDescent="0.35">
      <c r="A56" s="99"/>
      <c r="B56" s="100"/>
      <c r="C56" s="100"/>
      <c r="D56" s="100"/>
      <c r="E56" s="100"/>
      <c r="F56" s="100"/>
      <c r="G56" s="55"/>
      <c r="H56" s="55"/>
      <c r="I56" s="55"/>
      <c r="J56" s="55"/>
      <c r="K56" s="55"/>
    </row>
    <row r="57" spans="1:11" ht="61.5" customHeight="1" x14ac:dyDescent="0.35">
      <c r="A57" s="106" t="s">
        <v>81</v>
      </c>
      <c r="B57" s="112"/>
      <c r="C57" s="45" t="s">
        <v>86</v>
      </c>
      <c r="D57" s="45" t="s">
        <v>87</v>
      </c>
      <c r="E57" s="107"/>
      <c r="F57" s="107"/>
    </row>
    <row r="58" spans="1:11" x14ac:dyDescent="0.35">
      <c r="A58" s="41" t="s">
        <v>28</v>
      </c>
      <c r="B58" s="91">
        <f>'Carbones à répercuter'!C22</f>
        <v>4675</v>
      </c>
      <c r="C58" s="83"/>
      <c r="D58" s="83"/>
      <c r="E58" s="90"/>
      <c r="F58" s="83"/>
    </row>
    <row r="59" spans="1:11" x14ac:dyDescent="0.35">
      <c r="A59" s="41" t="s">
        <v>33</v>
      </c>
      <c r="B59" s="90"/>
      <c r="C59" s="83"/>
      <c r="D59" s="83"/>
      <c r="E59" s="90"/>
      <c r="F59" s="83"/>
    </row>
    <row r="60" spans="1:11" x14ac:dyDescent="0.35">
      <c r="A60" s="42" t="s">
        <v>14</v>
      </c>
      <c r="B60" s="90">
        <f>G9</f>
        <v>0</v>
      </c>
      <c r="C60" s="83"/>
      <c r="D60" s="83"/>
      <c r="E60" s="90"/>
      <c r="F60" s="83"/>
    </row>
    <row r="61" spans="1:11" x14ac:dyDescent="0.35">
      <c r="A61" s="42" t="s">
        <v>45</v>
      </c>
      <c r="B61" s="90">
        <f>G10</f>
        <v>2280</v>
      </c>
      <c r="C61" s="83"/>
      <c r="D61" s="83"/>
      <c r="E61" s="90"/>
      <c r="F61" s="83"/>
    </row>
    <row r="62" spans="1:11" x14ac:dyDescent="0.35">
      <c r="A62" s="42"/>
      <c r="B62" s="90"/>
      <c r="C62" s="83"/>
      <c r="D62" s="83"/>
      <c r="E62" s="90"/>
      <c r="F62" s="83"/>
    </row>
    <row r="63" spans="1:11" x14ac:dyDescent="0.35">
      <c r="A63" s="42"/>
      <c r="B63" s="90"/>
      <c r="C63" s="83"/>
      <c r="D63" s="83"/>
      <c r="E63" s="90"/>
      <c r="F63" s="83"/>
    </row>
    <row r="64" spans="1:11" x14ac:dyDescent="0.35">
      <c r="A64" s="42"/>
      <c r="B64" s="90"/>
      <c r="C64" s="83"/>
      <c r="D64" s="83"/>
      <c r="E64" s="90"/>
      <c r="F64" s="83"/>
    </row>
    <row r="65" spans="1:6" x14ac:dyDescent="0.35">
      <c r="A65" s="42" t="s">
        <v>34</v>
      </c>
      <c r="B65" s="90">
        <f>SUM(B60:B64)</f>
        <v>2280</v>
      </c>
      <c r="C65" s="83"/>
      <c r="D65" s="83"/>
      <c r="E65" s="91"/>
      <c r="F65" s="83"/>
    </row>
    <row r="66" spans="1:6" x14ac:dyDescent="0.35">
      <c r="A66" s="43" t="s">
        <v>15</v>
      </c>
      <c r="B66" s="90"/>
      <c r="C66" s="83"/>
      <c r="D66" s="83"/>
      <c r="E66" s="90"/>
      <c r="F66" s="83"/>
    </row>
    <row r="67" spans="1:6" x14ac:dyDescent="0.35">
      <c r="A67" s="42"/>
      <c r="B67" s="90"/>
      <c r="C67" s="83"/>
      <c r="D67" s="83"/>
      <c r="E67" s="90"/>
      <c r="F67" s="84"/>
    </row>
    <row r="68" spans="1:6" x14ac:dyDescent="0.35">
      <c r="A68" s="42"/>
      <c r="B68" s="90"/>
      <c r="C68" s="83"/>
      <c r="D68" s="83"/>
      <c r="E68" s="90"/>
      <c r="F68" s="83"/>
    </row>
    <row r="69" spans="1:6" x14ac:dyDescent="0.35">
      <c r="A69" s="41" t="s">
        <v>16</v>
      </c>
      <c r="B69" s="90"/>
      <c r="C69" s="83"/>
      <c r="D69" s="83"/>
      <c r="E69" s="90"/>
      <c r="F69" s="83"/>
    </row>
    <row r="70" spans="1:6" x14ac:dyDescent="0.35">
      <c r="A70" s="42" t="s">
        <v>43</v>
      </c>
      <c r="B70" s="90">
        <f>G18</f>
        <v>700.00000000000011</v>
      </c>
      <c r="C70" s="83">
        <f>(('Année 1'!D17+'Année 1'!F17)/'Année 1'!B88)-(('Année 2'!D18+'Année 2'!F18)/B91)</f>
        <v>-11.111111111111111</v>
      </c>
      <c r="D70" s="83">
        <f>IF('Année 1'!G17=0,'Année 2'!C70*('Année 2'!G18/('Année 2'!F18+'Année 2'!D18)),C70*('Année 1'!G17/('Année 1'!D17+'Année 1'!F17)))</f>
        <v>-0.77777777777777779</v>
      </c>
      <c r="E70" s="90"/>
      <c r="F70" s="83"/>
    </row>
    <row r="71" spans="1:6" x14ac:dyDescent="0.35">
      <c r="A71" s="42" t="s">
        <v>44</v>
      </c>
      <c r="B71" s="90">
        <f>G19</f>
        <v>70</v>
      </c>
      <c r="C71" s="83">
        <f>(('Année 1'!D18+'Année 1'!F18)/'Année 1'!B88)-(('Année 2'!D19+'Année 2'!F19)/B91)</f>
        <v>-1.1111111111111112</v>
      </c>
      <c r="D71" s="83">
        <f>IF('Année 1'!G18=0,'Année 2'!C71*('Année 2'!G19/('Année 2'!F19+'Année 2'!D19)),C71*('Année 1'!G18/('Année 1'!D18+'Année 1'!F18)))</f>
        <v>-7.7777777777777793E-2</v>
      </c>
      <c r="E71" s="90"/>
      <c r="F71" s="83"/>
    </row>
    <row r="72" spans="1:6" x14ac:dyDescent="0.35">
      <c r="A72" s="42" t="s">
        <v>4</v>
      </c>
      <c r="B72" s="90">
        <f>G20</f>
        <v>1250</v>
      </c>
      <c r="C72" s="83">
        <f>(('Année 1'!D19+'Année 1'!F19)/'Année 1'!B88)-(('Année 2'!D20+'Année 2'!F20)/B91)</f>
        <v>-0.55555555555555558</v>
      </c>
      <c r="D72" s="83">
        <f>IF('Année 1'!G19=0,'Année 2'!C72*('Année 2'!G20/('Année 2'!F20+'Année 2'!D20)),C72*('Année 1'!G19/('Année 1'!D19+'Année 1'!F19)))</f>
        <v>-1.3888888888888888</v>
      </c>
      <c r="E72" s="90"/>
      <c r="F72" s="83"/>
    </row>
    <row r="73" spans="1:6" x14ac:dyDescent="0.35">
      <c r="A73" s="42" t="s">
        <v>17</v>
      </c>
      <c r="B73" s="90">
        <f>G21</f>
        <v>25</v>
      </c>
      <c r="C73" s="83">
        <f>(('Année 1'!D20+'Année 1'!F20)/'Année 1'!B88)-(('Année 2'!D21+'Année 2'!F21)/B91)</f>
        <v>5.5555555555555549E-3</v>
      </c>
      <c r="D73" s="83">
        <f>IF('Année 1'!G20=0,'Année 2'!C73*('Année 2'!G21/('Année 2'!F21+'Année 2'!D21)),C73*('Année 1'!G20/('Année 1'!D20+'Année 1'!F20)))</f>
        <v>1.3888888888888888E-2</v>
      </c>
      <c r="E73" s="90"/>
      <c r="F73" s="83"/>
    </row>
    <row r="74" spans="1:6" x14ac:dyDescent="0.35">
      <c r="A74" s="42" t="s">
        <v>18</v>
      </c>
      <c r="B74" s="90">
        <f>G22</f>
        <v>47</v>
      </c>
      <c r="C74" s="83">
        <f>(('Année 1'!D21+'Année 1'!F21)/'Année 1'!B88)-(('Année 2'!D22+'Année 2'!F22)/B91)</f>
        <v>-1.7777777777777778E-2</v>
      </c>
      <c r="D74" s="83">
        <f>IF('Année 1'!G21=0,'Année 2'!C74*('Année 2'!G22/('Année 2'!F22+'Année 2'!D22)),C74*('Année 1'!G21/('Année 1'!D21+'Année 1'!F21)))</f>
        <v>-4.1777777777777782E-2</v>
      </c>
      <c r="E74" s="90"/>
      <c r="F74" s="83"/>
    </row>
    <row r="75" spans="1:6" x14ac:dyDescent="0.35">
      <c r="A75" s="43"/>
      <c r="B75" s="20"/>
      <c r="C75" s="83"/>
      <c r="D75" s="83"/>
    </row>
    <row r="76" spans="1:6" x14ac:dyDescent="0.35">
      <c r="A76" s="41"/>
      <c r="B76" s="20"/>
      <c r="C76" s="83"/>
      <c r="D76" s="83"/>
    </row>
    <row r="77" spans="1:6" x14ac:dyDescent="0.35">
      <c r="A77" s="42"/>
      <c r="B77" s="20"/>
      <c r="C77" s="83"/>
      <c r="D77" s="83"/>
    </row>
    <row r="78" spans="1:6" x14ac:dyDescent="0.35">
      <c r="A78" s="42"/>
      <c r="B78" s="20"/>
      <c r="C78" s="83"/>
      <c r="D78" s="83"/>
    </row>
    <row r="79" spans="1:6" x14ac:dyDescent="0.35">
      <c r="A79" s="44"/>
      <c r="B79" s="20"/>
      <c r="C79" s="83"/>
      <c r="D79" s="83"/>
    </row>
    <row r="80" spans="1:6" x14ac:dyDescent="0.35">
      <c r="A80" s="41"/>
      <c r="B80" s="20"/>
      <c r="C80" s="83"/>
      <c r="D80" s="83"/>
    </row>
    <row r="81" spans="1:10" s="83" customFormat="1" x14ac:dyDescent="0.35">
      <c r="A81" s="41"/>
      <c r="B81" s="90"/>
      <c r="E81" s="90"/>
      <c r="J81" s="101"/>
    </row>
    <row r="82" spans="1:10" s="83" customFormat="1" x14ac:dyDescent="0.35">
      <c r="A82" s="42" t="s">
        <v>20</v>
      </c>
      <c r="B82" s="90">
        <f>G30</f>
        <v>1200</v>
      </c>
      <c r="C82" s="83">
        <f>(('Année 1'!D29+'Année 1'!F29)/'Année 1'!B88)-(('Année 2'!D30+'Année 2'!F30)/B91)</f>
        <v>-4.4444444444444444E-3</v>
      </c>
      <c r="D82" s="83">
        <f>IF('Année 1'!G29=0,'Année 2'!C82*('Année 2'!G30/('Année 2'!F30+'Année 2'!D30)),C82*('Année 1'!G29/('Année 1'!D29+'Année 1'!F29)))</f>
        <v>-1.3333333333333333</v>
      </c>
      <c r="E82" s="90"/>
      <c r="J82" s="101"/>
    </row>
    <row r="83" spans="1:10" s="83" customFormat="1" x14ac:dyDescent="0.35">
      <c r="A83" s="42" t="s">
        <v>21</v>
      </c>
      <c r="B83" s="90">
        <f>G31</f>
        <v>150</v>
      </c>
      <c r="C83" s="83">
        <f>(('Année 1'!D30+'Année 1'!F30)/'Année 1'!B88)-(('Année 2'!D31+'Année 2'!F31)/B91)</f>
        <v>1.1111111111111111E-3</v>
      </c>
      <c r="D83" s="83">
        <f>IF('Année 1'!G30=0,'Année 2'!C83*('Année 2'!G31/('Année 2'!F31+'Année 2'!D31)),C83*('Année 1'!G30/('Année 1'!D30+'Année 1'!F30)))</f>
        <v>0.16944444444444445</v>
      </c>
      <c r="E83" s="90"/>
      <c r="J83" s="101"/>
    </row>
    <row r="84" spans="1:10" s="83" customFormat="1" x14ac:dyDescent="0.35">
      <c r="A84" s="43" t="s">
        <v>22</v>
      </c>
      <c r="B84" s="90"/>
      <c r="E84" s="90"/>
      <c r="J84" s="101"/>
    </row>
    <row r="85" spans="1:10" s="83" customFormat="1" x14ac:dyDescent="0.35">
      <c r="A85" s="42"/>
      <c r="B85" s="90">
        <f t="shared" ref="B85" si="1">G33</f>
        <v>500</v>
      </c>
      <c r="C85" s="83">
        <f>(('Année 1'!D32+'Année 1'!F32)/'Année 1'!B88)-(('Année 2'!D33+'Année 2'!F33)/B91)</f>
        <v>-2.2222222222222222E-3</v>
      </c>
      <c r="D85" s="83">
        <f>IF('Année 1'!G32=0,'Année 2'!C85*('Année 2'!G33/('Année 2'!F33+'Année 2'!D33)),C85*('Année 1'!G32/('Année 1'!D32+'Année 1'!F32)))</f>
        <v>-0.55555555555555558</v>
      </c>
      <c r="E85" s="90"/>
      <c r="J85" s="101"/>
    </row>
    <row r="86" spans="1:10" s="83" customFormat="1" ht="26.5" x14ac:dyDescent="0.35">
      <c r="A86" s="45" t="s">
        <v>23</v>
      </c>
      <c r="B86" s="90">
        <f>G34</f>
        <v>1000</v>
      </c>
      <c r="C86" s="83">
        <f>(('Année 1'!D33+'Année 1'!F33)/'Année 1'!B88)-(('Année 2'!D34+'Année 2'!F34)/B91)</f>
        <v>-1.1111111111111112</v>
      </c>
      <c r="D86" s="83">
        <f>IF('Année 1'!G33=0,'Année 2'!C86*('Année 2'!G34/('Année 2'!F34+'Année 2'!D34)),C86*('Année 1'!G33/('Année 1'!D33+'Année 1'!F33)))</f>
        <v>-0.55555555555555558</v>
      </c>
      <c r="E86" s="90"/>
      <c r="J86" s="101"/>
    </row>
    <row r="87" spans="1:10" s="83" customFormat="1" x14ac:dyDescent="0.35">
      <c r="A87" s="72" t="s">
        <v>32</v>
      </c>
      <c r="B87" s="91">
        <f>SUM(B58:B86)-B65</f>
        <v>11897</v>
      </c>
      <c r="C87" s="84"/>
      <c r="D87" s="84"/>
      <c r="E87" s="91"/>
      <c r="J87" s="101"/>
    </row>
    <row r="88" spans="1:10" s="83" customFormat="1" x14ac:dyDescent="0.35">
      <c r="A88" s="72" t="s">
        <v>42</v>
      </c>
      <c r="B88" s="91">
        <f>'Carbones à répercuter'!I40</f>
        <v>4266.666666666667</v>
      </c>
      <c r="E88" s="90"/>
      <c r="J88" s="101"/>
    </row>
    <row r="89" spans="1:10" s="83" customFormat="1" x14ac:dyDescent="0.35">
      <c r="A89" s="72" t="s">
        <v>46</v>
      </c>
      <c r="B89" s="91">
        <f>B87+B88</f>
        <v>16163.666666666668</v>
      </c>
      <c r="E89" s="90"/>
      <c r="J89" s="101"/>
    </row>
    <row r="90" spans="1:10" s="83" customFormat="1" x14ac:dyDescent="0.35">
      <c r="A90" s="72" t="s">
        <v>55</v>
      </c>
      <c r="B90" s="91">
        <f>B89</f>
        <v>16163.666666666668</v>
      </c>
      <c r="E90" s="90"/>
      <c r="J90" s="101"/>
    </row>
    <row r="91" spans="1:10" s="83" customFormat="1" ht="29" x14ac:dyDescent="0.35">
      <c r="A91" s="98" t="s">
        <v>90</v>
      </c>
      <c r="B91" s="91">
        <f>B39*B40</f>
        <v>900</v>
      </c>
      <c r="E91" s="90"/>
      <c r="J91" s="101"/>
    </row>
    <row r="92" spans="1:10" s="83" customFormat="1" x14ac:dyDescent="0.35">
      <c r="A92" s="72" t="s">
        <v>65</v>
      </c>
      <c r="B92" s="91">
        <f>B90/B91</f>
        <v>17.959629629629632</v>
      </c>
      <c r="E92" s="90"/>
      <c r="J92" s="101"/>
    </row>
    <row r="93" spans="1:10" x14ac:dyDescent="0.35">
      <c r="A93" s="45"/>
      <c r="B93" s="90"/>
    </row>
    <row r="95" spans="1:10" ht="18.5" x14ac:dyDescent="0.45">
      <c r="A95" s="80" t="s">
        <v>82</v>
      </c>
    </row>
    <row r="96" spans="1:10" x14ac:dyDescent="0.35">
      <c r="A96" s="83"/>
    </row>
    <row r="97" spans="1:2" x14ac:dyDescent="0.35">
      <c r="A97" s="40" t="s">
        <v>83</v>
      </c>
      <c r="B97" s="91">
        <f>SUM(D70:D86)*'Année 1'!B88</f>
        <v>-4092.6</v>
      </c>
    </row>
    <row r="98" spans="1:2" x14ac:dyDescent="0.35">
      <c r="A98" s="40" t="s">
        <v>85</v>
      </c>
      <c r="B98" s="91"/>
    </row>
    <row r="99" spans="1:2" x14ac:dyDescent="0.35">
      <c r="A99" s="40" t="s">
        <v>84</v>
      </c>
      <c r="B99" s="91"/>
    </row>
    <row r="100" spans="1:2" x14ac:dyDescent="0.35">
      <c r="A100" s="40" t="s">
        <v>30</v>
      </c>
      <c r="B100" s="91">
        <f>SUM(B97:B99)</f>
        <v>-4092.6</v>
      </c>
    </row>
    <row r="103" spans="1:2" x14ac:dyDescent="0.35">
      <c r="A103" s="45"/>
      <c r="B103" s="46"/>
    </row>
    <row r="105" spans="1:2" ht="19" thickBot="1" x14ac:dyDescent="0.5">
      <c r="A105" s="73"/>
    </row>
    <row r="106" spans="1:2" ht="15" thickBot="1" x14ac:dyDescent="0.4">
      <c r="A106" s="74"/>
      <c r="B106" s="37"/>
    </row>
    <row r="107" spans="1:2" x14ac:dyDescent="0.35">
      <c r="A107" s="75"/>
    </row>
    <row r="108" spans="1:2" x14ac:dyDescent="0.35">
      <c r="A108" s="39"/>
      <c r="B108" s="46"/>
    </row>
    <row r="109" spans="1:2" x14ac:dyDescent="0.35">
      <c r="A109" s="39"/>
      <c r="B109" s="46"/>
    </row>
  </sheetData>
  <mergeCells count="3">
    <mergeCell ref="A2:K2"/>
    <mergeCell ref="A38:K38"/>
    <mergeCell ref="A48:F4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36DB-100C-42A8-8DF8-DEC1F28AF922}">
  <dimension ref="A1:K109"/>
  <sheetViews>
    <sheetView workbookViewId="0">
      <selection activeCell="F95" sqref="F95"/>
    </sheetView>
  </sheetViews>
  <sheetFormatPr baseColWidth="10" defaultRowHeight="14.5" x14ac:dyDescent="0.35"/>
  <cols>
    <col min="1" max="1" width="37.36328125" customWidth="1"/>
    <col min="5" max="5" width="10.90625" style="20"/>
    <col min="10" max="10" width="10.90625" style="32"/>
  </cols>
  <sheetData>
    <row r="1" spans="1:11" ht="21" x14ac:dyDescent="0.5">
      <c r="A1" s="21" t="s">
        <v>11</v>
      </c>
      <c r="B1" s="52">
        <f>'Année 1'!B1+2</f>
        <v>2024</v>
      </c>
    </row>
    <row r="2" spans="1:11" ht="35" customHeight="1" x14ac:dyDescent="0.35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15" customHeight="1" x14ac:dyDescent="0.35">
      <c r="A3" s="68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35">
      <c r="A4" s="66" t="s">
        <v>53</v>
      </c>
      <c r="B4" s="79"/>
      <c r="C4" s="1"/>
      <c r="D4" s="1"/>
      <c r="E4" s="1"/>
      <c r="F4" s="1"/>
      <c r="G4" s="1"/>
      <c r="H4" s="1"/>
      <c r="I4" s="1"/>
      <c r="J4" s="1"/>
      <c r="K4" s="1"/>
    </row>
    <row r="5" spans="1:11" ht="65" x14ac:dyDescent="0.35">
      <c r="A5" s="22" t="s">
        <v>12</v>
      </c>
      <c r="B5" s="19" t="s">
        <v>3</v>
      </c>
      <c r="C5" s="109" t="s">
        <v>71</v>
      </c>
      <c r="D5" s="19" t="s">
        <v>72</v>
      </c>
      <c r="E5" s="19" t="s">
        <v>73</v>
      </c>
      <c r="F5" s="19" t="s">
        <v>74</v>
      </c>
      <c r="G5" s="109" t="s">
        <v>75</v>
      </c>
      <c r="J5" s="6" t="s">
        <v>76</v>
      </c>
    </row>
    <row r="6" spans="1:11" ht="26.5" x14ac:dyDescent="0.35">
      <c r="A6" s="23" t="s">
        <v>66</v>
      </c>
      <c r="B6" s="27"/>
      <c r="C6" s="28"/>
      <c r="D6" s="28"/>
      <c r="E6" s="33"/>
      <c r="F6" s="28"/>
      <c r="G6" s="24"/>
      <c r="J6" s="7"/>
    </row>
    <row r="7" spans="1:11" ht="26.5" x14ac:dyDescent="0.35">
      <c r="A7" s="23" t="s">
        <v>29</v>
      </c>
      <c r="B7" s="27"/>
      <c r="C7" s="28"/>
      <c r="D7" s="28"/>
      <c r="E7" s="33"/>
      <c r="F7" s="28"/>
      <c r="G7" s="24"/>
      <c r="J7" s="7"/>
    </row>
    <row r="8" spans="1:11" x14ac:dyDescent="0.35">
      <c r="A8" s="25" t="s">
        <v>13</v>
      </c>
      <c r="B8" s="27"/>
      <c r="C8" s="17"/>
      <c r="D8" s="27"/>
      <c r="E8" s="16"/>
      <c r="F8" s="27"/>
      <c r="G8" s="4"/>
      <c r="J8" s="7"/>
    </row>
    <row r="9" spans="1:11" x14ac:dyDescent="0.35">
      <c r="A9" s="26" t="s">
        <v>14</v>
      </c>
      <c r="B9" s="27">
        <v>100000</v>
      </c>
      <c r="C9" s="17" t="s">
        <v>5</v>
      </c>
      <c r="D9" s="27"/>
      <c r="E9" s="16"/>
      <c r="F9" s="27">
        <v>100</v>
      </c>
      <c r="G9" s="4">
        <f>(F9*J9)+E9</f>
        <v>10</v>
      </c>
      <c r="J9" s="7">
        <v>0.1</v>
      </c>
    </row>
    <row r="10" spans="1:11" x14ac:dyDescent="0.35">
      <c r="A10" s="26" t="s">
        <v>61</v>
      </c>
      <c r="B10" s="27">
        <v>5000</v>
      </c>
      <c r="C10" s="17" t="s">
        <v>7</v>
      </c>
      <c r="D10" s="27"/>
      <c r="E10" s="16"/>
      <c r="F10" s="27">
        <v>500</v>
      </c>
      <c r="G10" s="4">
        <f t="shared" ref="G10:G34" si="0">(F10*J10)+E10</f>
        <v>3800</v>
      </c>
      <c r="J10" s="7">
        <v>7.6</v>
      </c>
    </row>
    <row r="11" spans="1:11" x14ac:dyDescent="0.35">
      <c r="A11" s="26"/>
      <c r="B11" s="27"/>
      <c r="C11" s="17"/>
      <c r="D11" s="27"/>
      <c r="E11" s="16"/>
      <c r="F11" s="27"/>
      <c r="G11" s="4"/>
      <c r="J11" s="7"/>
    </row>
    <row r="12" spans="1:11" x14ac:dyDescent="0.35">
      <c r="A12" s="26"/>
      <c r="B12" s="27"/>
      <c r="C12" s="17"/>
      <c r="D12" s="27"/>
      <c r="E12" s="16"/>
      <c r="F12" s="27"/>
      <c r="G12" s="4"/>
      <c r="J12" s="7"/>
    </row>
    <row r="13" spans="1:11" x14ac:dyDescent="0.35">
      <c r="A13" s="26"/>
      <c r="B13" s="27"/>
      <c r="C13" s="17"/>
      <c r="D13" s="27"/>
      <c r="E13" s="16"/>
      <c r="F13" s="27"/>
      <c r="G13" s="4"/>
      <c r="J13" s="7"/>
    </row>
    <row r="14" spans="1:11" x14ac:dyDescent="0.35">
      <c r="A14" s="29" t="s">
        <v>15</v>
      </c>
      <c r="B14" s="27"/>
      <c r="C14" s="17"/>
      <c r="D14" s="27"/>
      <c r="E14" s="16"/>
      <c r="F14" s="27"/>
      <c r="G14" s="4"/>
      <c r="J14" s="7"/>
    </row>
    <row r="15" spans="1:11" x14ac:dyDescent="0.35">
      <c r="A15" s="5"/>
      <c r="B15" s="27"/>
      <c r="C15" s="17"/>
      <c r="D15" s="27"/>
      <c r="E15" s="16"/>
      <c r="F15" s="27"/>
      <c r="G15" s="4"/>
      <c r="J15" s="7"/>
    </row>
    <row r="16" spans="1:11" x14ac:dyDescent="0.35">
      <c r="A16" s="5"/>
      <c r="B16" s="27"/>
      <c r="C16" s="17"/>
      <c r="D16" s="27"/>
      <c r="E16" s="16"/>
      <c r="F16" s="27"/>
      <c r="G16" s="4"/>
      <c r="J16" s="7"/>
    </row>
    <row r="17" spans="1:10" x14ac:dyDescent="0.35">
      <c r="A17" s="30" t="s">
        <v>16</v>
      </c>
      <c r="B17" s="27"/>
      <c r="C17" s="17"/>
      <c r="D17" s="27"/>
      <c r="E17" s="16"/>
      <c r="F17" s="27"/>
      <c r="G17" s="4">
        <f t="shared" si="0"/>
        <v>0</v>
      </c>
      <c r="J17" s="7"/>
    </row>
    <row r="18" spans="1:10" x14ac:dyDescent="0.35">
      <c r="A18" s="5" t="s">
        <v>43</v>
      </c>
      <c r="B18" s="27"/>
      <c r="C18" s="17" t="s">
        <v>24</v>
      </c>
      <c r="D18" s="27"/>
      <c r="E18" s="16"/>
      <c r="F18" s="27">
        <v>50000</v>
      </c>
      <c r="G18" s="4">
        <f t="shared" si="0"/>
        <v>3500.0000000000005</v>
      </c>
      <c r="J18" s="34">
        <v>7.0000000000000007E-2</v>
      </c>
    </row>
    <row r="19" spans="1:10" x14ac:dyDescent="0.35">
      <c r="A19" s="5" t="s">
        <v>44</v>
      </c>
      <c r="B19" s="27"/>
      <c r="C19" s="17" t="s">
        <v>24</v>
      </c>
      <c r="D19" s="27"/>
      <c r="E19" s="16"/>
      <c r="F19" s="27">
        <v>5</v>
      </c>
      <c r="G19" s="4">
        <f t="shared" si="0"/>
        <v>0.35000000000000003</v>
      </c>
      <c r="J19" s="34">
        <v>7.0000000000000007E-2</v>
      </c>
    </row>
    <row r="20" spans="1:10" x14ac:dyDescent="0.35">
      <c r="A20" s="5" t="s">
        <v>4</v>
      </c>
      <c r="B20" s="27"/>
      <c r="C20" s="17" t="s">
        <v>25</v>
      </c>
      <c r="D20" s="27"/>
      <c r="E20" s="16"/>
      <c r="F20" s="27">
        <v>5</v>
      </c>
      <c r="G20" s="4">
        <f t="shared" si="0"/>
        <v>12.5</v>
      </c>
      <c r="J20" s="34">
        <v>2.5</v>
      </c>
    </row>
    <row r="21" spans="1:10" x14ac:dyDescent="0.35">
      <c r="A21" s="5" t="s">
        <v>17</v>
      </c>
      <c r="B21" s="27"/>
      <c r="C21" s="17" t="s">
        <v>26</v>
      </c>
      <c r="D21" s="27"/>
      <c r="E21" s="16"/>
      <c r="F21" s="27">
        <v>5</v>
      </c>
      <c r="G21" s="4">
        <f t="shared" si="0"/>
        <v>12.5</v>
      </c>
      <c r="J21" s="34">
        <v>2.5</v>
      </c>
    </row>
    <row r="22" spans="1:10" x14ac:dyDescent="0.35">
      <c r="A22" s="5" t="s">
        <v>18</v>
      </c>
      <c r="B22" s="27"/>
      <c r="C22" s="17" t="s">
        <v>7</v>
      </c>
      <c r="D22" s="27"/>
      <c r="E22" s="16"/>
      <c r="F22" s="27">
        <v>5</v>
      </c>
      <c r="G22" s="4">
        <f t="shared" si="0"/>
        <v>11.75</v>
      </c>
      <c r="J22" s="34">
        <v>2.35</v>
      </c>
    </row>
    <row r="23" spans="1:10" x14ac:dyDescent="0.35">
      <c r="A23" s="29"/>
      <c r="B23" s="27"/>
      <c r="C23" s="17"/>
      <c r="D23" s="27"/>
      <c r="E23" s="16"/>
      <c r="F23" s="27"/>
      <c r="G23" s="4"/>
      <c r="J23" s="7"/>
    </row>
    <row r="24" spans="1:10" x14ac:dyDescent="0.35">
      <c r="A24" s="30"/>
      <c r="B24" s="27"/>
      <c r="C24" s="17"/>
      <c r="D24" s="27"/>
      <c r="E24" s="16"/>
      <c r="F24" s="27"/>
      <c r="G24" s="4"/>
      <c r="J24" s="7"/>
    </row>
    <row r="25" spans="1:10" x14ac:dyDescent="0.35">
      <c r="A25" s="5"/>
      <c r="B25" s="27"/>
      <c r="C25" s="17"/>
      <c r="D25" s="27"/>
      <c r="E25" s="16"/>
      <c r="F25" s="27"/>
      <c r="G25" s="4"/>
      <c r="J25" s="7"/>
    </row>
    <row r="26" spans="1:10" x14ac:dyDescent="0.35">
      <c r="A26" s="5"/>
      <c r="B26" s="27"/>
      <c r="C26" s="17"/>
      <c r="D26" s="27"/>
      <c r="E26" s="16"/>
      <c r="F26" s="27"/>
      <c r="G26" s="4"/>
      <c r="J26" s="7"/>
    </row>
    <row r="27" spans="1:10" x14ac:dyDescent="0.35">
      <c r="A27" s="5"/>
      <c r="B27" s="27"/>
      <c r="C27" s="17"/>
      <c r="D27" s="27"/>
      <c r="E27" s="16"/>
      <c r="F27" s="27"/>
      <c r="G27" s="4"/>
      <c r="J27" s="7"/>
    </row>
    <row r="28" spans="1:10" x14ac:dyDescent="0.35">
      <c r="A28" s="31"/>
      <c r="B28" s="27"/>
      <c r="C28" s="17"/>
      <c r="D28" s="27"/>
      <c r="E28" s="16"/>
      <c r="F28" s="27"/>
      <c r="G28" s="4"/>
      <c r="J28" s="7"/>
    </row>
    <row r="29" spans="1:10" x14ac:dyDescent="0.35">
      <c r="A29" s="30" t="s">
        <v>19</v>
      </c>
      <c r="B29" s="27"/>
      <c r="C29" s="17"/>
      <c r="D29" s="27"/>
      <c r="E29" s="16"/>
      <c r="F29" s="27"/>
      <c r="G29" s="4"/>
      <c r="J29" s="7"/>
    </row>
    <row r="30" spans="1:10" x14ac:dyDescent="0.35">
      <c r="A30" s="5" t="s">
        <v>20</v>
      </c>
      <c r="B30" s="27"/>
      <c r="C30" s="17" t="s">
        <v>27</v>
      </c>
      <c r="D30" s="27"/>
      <c r="E30" s="16"/>
      <c r="F30" s="27"/>
      <c r="G30" s="4">
        <f t="shared" si="0"/>
        <v>0</v>
      </c>
      <c r="J30" s="7">
        <v>300</v>
      </c>
    </row>
    <row r="31" spans="1:10" x14ac:dyDescent="0.35">
      <c r="A31" s="5" t="s">
        <v>21</v>
      </c>
      <c r="B31" s="27">
        <v>1500</v>
      </c>
      <c r="C31" s="17" t="s">
        <v>27</v>
      </c>
      <c r="D31" s="27"/>
      <c r="E31" s="16"/>
      <c r="F31" s="27">
        <v>4</v>
      </c>
      <c r="G31" s="4">
        <f t="shared" si="0"/>
        <v>600</v>
      </c>
      <c r="J31" s="7">
        <v>150</v>
      </c>
    </row>
    <row r="32" spans="1:10" x14ac:dyDescent="0.35">
      <c r="A32" s="29" t="s">
        <v>22</v>
      </c>
      <c r="B32" s="27"/>
      <c r="C32" s="17"/>
      <c r="D32" s="27"/>
      <c r="E32" s="16"/>
      <c r="F32" s="27"/>
      <c r="G32" s="4"/>
      <c r="J32" s="7"/>
    </row>
    <row r="33" spans="1:11" ht="26.5" x14ac:dyDescent="0.35">
      <c r="A33" s="111" t="s">
        <v>79</v>
      </c>
      <c r="B33" s="27"/>
      <c r="C33" s="17"/>
      <c r="D33" s="27"/>
      <c r="E33" s="16"/>
      <c r="F33" s="27"/>
      <c r="G33" s="4">
        <f t="shared" si="0"/>
        <v>0</v>
      </c>
      <c r="J33" s="7"/>
    </row>
    <row r="34" spans="1:11" ht="26.5" x14ac:dyDescent="0.35">
      <c r="A34" s="35" t="s">
        <v>23</v>
      </c>
      <c r="B34" s="27">
        <v>2000</v>
      </c>
      <c r="C34" s="17" t="s">
        <v>5</v>
      </c>
      <c r="D34" s="27"/>
      <c r="E34" s="16"/>
      <c r="F34" s="27">
        <v>6000</v>
      </c>
      <c r="G34" s="4">
        <f t="shared" si="0"/>
        <v>3000</v>
      </c>
      <c r="J34" s="7">
        <v>0.5</v>
      </c>
    </row>
    <row r="35" spans="1:11" x14ac:dyDescent="0.35">
      <c r="A35" s="35"/>
      <c r="B35" s="27"/>
      <c r="C35" s="17"/>
      <c r="D35" s="27"/>
      <c r="E35" s="16"/>
      <c r="F35" s="27"/>
      <c r="G35" s="4"/>
    </row>
    <row r="36" spans="1:11" x14ac:dyDescent="0.35">
      <c r="A36" s="35"/>
      <c r="B36" s="4"/>
      <c r="C36" s="17"/>
      <c r="D36" s="4"/>
      <c r="E36" s="16"/>
      <c r="F36" s="4"/>
      <c r="G36" s="4"/>
    </row>
    <row r="38" spans="1:11" ht="16" customHeight="1" thickBot="1" x14ac:dyDescent="0.4">
      <c r="A38" s="117" t="s">
        <v>54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spans="1:11" ht="29.5" thickBot="1" x14ac:dyDescent="0.4">
      <c r="A39" s="96" t="s">
        <v>63</v>
      </c>
      <c r="B39" s="37">
        <v>1000</v>
      </c>
    </row>
    <row r="40" spans="1:11" ht="15" thickBot="1" x14ac:dyDescent="0.4">
      <c r="A40" s="96" t="s">
        <v>89</v>
      </c>
      <c r="B40" s="125">
        <v>0.9</v>
      </c>
    </row>
    <row r="41" spans="1:11" x14ac:dyDescent="0.35">
      <c r="A41" s="95"/>
      <c r="B41" s="124"/>
    </row>
    <row r="42" spans="1:11" x14ac:dyDescent="0.35">
      <c r="A42" s="36"/>
      <c r="B42" s="56"/>
    </row>
    <row r="43" spans="1:11" x14ac:dyDescent="0.35">
      <c r="A43" s="38"/>
      <c r="B43" s="56"/>
    </row>
    <row r="44" spans="1:11" s="53" customFormat="1" ht="30" customHeight="1" thickBot="1" x14ac:dyDescent="0.4">
      <c r="A44" s="86" t="s">
        <v>57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 s="53" customFormat="1" ht="29.5" thickBot="1" x14ac:dyDescent="0.4">
      <c r="A45" s="96" t="s">
        <v>88</v>
      </c>
      <c r="B45" s="77"/>
      <c r="C45" s="55"/>
      <c r="D45" s="55"/>
      <c r="E45" s="55"/>
      <c r="F45" s="55"/>
      <c r="G45" s="55"/>
      <c r="H45" s="55"/>
      <c r="I45" s="55"/>
      <c r="J45" s="55"/>
      <c r="K45" s="55"/>
    </row>
    <row r="46" spans="1:11" s="53" customFormat="1" x14ac:dyDescent="0.35">
      <c r="A46" s="66"/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1:11" x14ac:dyDescent="0.35">
      <c r="B47" s="40"/>
      <c r="C47" s="40"/>
      <c r="D47" s="40"/>
    </row>
    <row r="48" spans="1:11" s="83" customFormat="1" ht="36" customHeight="1" x14ac:dyDescent="0.35">
      <c r="A48" s="120" t="s">
        <v>67</v>
      </c>
      <c r="B48" s="120"/>
      <c r="C48" s="120"/>
      <c r="D48" s="120"/>
      <c r="E48" s="120"/>
      <c r="F48" s="120"/>
      <c r="J48" s="101"/>
    </row>
    <row r="49" spans="1:10" s="83" customFormat="1" ht="36" customHeight="1" x14ac:dyDescent="0.35">
      <c r="A49" s="72" t="s">
        <v>68</v>
      </c>
      <c r="B49" s="88">
        <f>B91</f>
        <v>14515.433333333331</v>
      </c>
      <c r="C49" s="87"/>
      <c r="D49" s="87"/>
      <c r="E49" s="87"/>
      <c r="F49" s="87"/>
      <c r="J49" s="101"/>
    </row>
    <row r="50" spans="1:10" ht="31" customHeight="1" x14ac:dyDescent="0.35">
      <c r="A50" s="98" t="s">
        <v>64</v>
      </c>
      <c r="B50" s="105">
        <f>B39*B40</f>
        <v>900</v>
      </c>
    </row>
    <row r="51" spans="1:10" s="83" customFormat="1" ht="36" customHeight="1" x14ac:dyDescent="0.35">
      <c r="A51" s="72" t="s">
        <v>69</v>
      </c>
      <c r="B51" s="88">
        <f>B49/(B39*B40)</f>
        <v>16.128259259259256</v>
      </c>
      <c r="C51" s="87"/>
      <c r="D51" s="87"/>
      <c r="E51" s="87"/>
      <c r="F51" s="87"/>
      <c r="J51" s="101"/>
    </row>
    <row r="52" spans="1:10" s="83" customFormat="1" x14ac:dyDescent="0.35">
      <c r="A52" s="39" t="s">
        <v>58</v>
      </c>
      <c r="B52" s="89">
        <f>B58/(B39*B40)</f>
        <v>5.1944444444444446</v>
      </c>
      <c r="E52" s="90"/>
      <c r="J52" s="101"/>
    </row>
    <row r="53" spans="1:10" s="83" customFormat="1" ht="29" x14ac:dyDescent="0.35">
      <c r="A53" s="76" t="s">
        <v>59</v>
      </c>
      <c r="B53" s="89">
        <f>(B70+B72+B73+B74)/(B39*B40)</f>
        <v>3.9297222222222228</v>
      </c>
      <c r="E53" s="90"/>
      <c r="J53" s="101"/>
    </row>
    <row r="54" spans="1:10" s="83" customFormat="1" ht="28.75" customHeight="1" x14ac:dyDescent="0.35">
      <c r="A54" s="76" t="s">
        <v>60</v>
      </c>
      <c r="B54" s="89">
        <f>(B89-B58-B70-B72-B73-B74)/(B39*B40)</f>
        <v>7.0040925925925892</v>
      </c>
      <c r="E54" s="90"/>
      <c r="J54" s="101"/>
    </row>
    <row r="55" spans="1:10" s="83" customFormat="1" x14ac:dyDescent="0.35">
      <c r="A55" s="72" t="s">
        <v>80</v>
      </c>
      <c r="B55" s="91">
        <f>B100</f>
        <v>-2195.1000000000004</v>
      </c>
      <c r="E55" s="90"/>
      <c r="J55" s="101"/>
    </row>
    <row r="56" spans="1:10" s="83" customFormat="1" x14ac:dyDescent="0.35">
      <c r="B56" s="40"/>
      <c r="C56" s="40"/>
      <c r="D56" s="40"/>
      <c r="E56" s="90"/>
      <c r="J56" s="101"/>
    </row>
    <row r="57" spans="1:10" s="83" customFormat="1" ht="52.5" x14ac:dyDescent="0.35">
      <c r="A57" s="106" t="s">
        <v>81</v>
      </c>
      <c r="B57" s="112"/>
      <c r="C57" s="45" t="s">
        <v>86</v>
      </c>
      <c r="D57" s="45" t="s">
        <v>87</v>
      </c>
      <c r="E57" s="113"/>
      <c r="F57" s="113"/>
      <c r="J57" s="101"/>
    </row>
    <row r="58" spans="1:10" s="83" customFormat="1" x14ac:dyDescent="0.35">
      <c r="A58" s="41" t="s">
        <v>28</v>
      </c>
      <c r="B58" s="91">
        <f>'Carbones à répercuter'!C23</f>
        <v>4675</v>
      </c>
      <c r="E58" s="90"/>
      <c r="J58" s="101"/>
    </row>
    <row r="59" spans="1:10" s="83" customFormat="1" x14ac:dyDescent="0.35">
      <c r="A59" s="41" t="s">
        <v>33</v>
      </c>
      <c r="B59" s="90"/>
      <c r="E59" s="90"/>
      <c r="J59" s="101"/>
    </row>
    <row r="60" spans="1:10" s="83" customFormat="1" x14ac:dyDescent="0.35">
      <c r="A60" s="42" t="s">
        <v>14</v>
      </c>
      <c r="B60" s="90">
        <f>G9</f>
        <v>10</v>
      </c>
      <c r="E60" s="90"/>
      <c r="J60" s="101"/>
    </row>
    <row r="61" spans="1:10" s="83" customFormat="1" x14ac:dyDescent="0.35">
      <c r="A61" s="42" t="s">
        <v>45</v>
      </c>
      <c r="B61" s="90">
        <f>G10</f>
        <v>3800</v>
      </c>
      <c r="E61" s="90"/>
      <c r="J61" s="101"/>
    </row>
    <row r="62" spans="1:10" s="83" customFormat="1" x14ac:dyDescent="0.35">
      <c r="A62" s="42"/>
      <c r="B62" s="90"/>
      <c r="E62" s="90"/>
      <c r="J62" s="101"/>
    </row>
    <row r="63" spans="1:10" s="83" customFormat="1" x14ac:dyDescent="0.35">
      <c r="A63" s="42"/>
      <c r="B63" s="90">
        <f>G12</f>
        <v>0</v>
      </c>
      <c r="E63" s="90"/>
      <c r="J63" s="101"/>
    </row>
    <row r="64" spans="1:10" s="83" customFormat="1" x14ac:dyDescent="0.35">
      <c r="A64" s="42"/>
      <c r="B64" s="90">
        <f>G13</f>
        <v>0</v>
      </c>
      <c r="E64" s="90"/>
      <c r="J64" s="101"/>
    </row>
    <row r="65" spans="1:10" s="83" customFormat="1" x14ac:dyDescent="0.35">
      <c r="A65" s="42" t="s">
        <v>34</v>
      </c>
      <c r="B65" s="90">
        <f>SUM(B60:B64)</f>
        <v>3810</v>
      </c>
      <c r="E65" s="91"/>
      <c r="J65" s="101"/>
    </row>
    <row r="66" spans="1:10" s="83" customFormat="1" x14ac:dyDescent="0.35">
      <c r="A66" s="43" t="s">
        <v>15</v>
      </c>
      <c r="B66" s="90"/>
      <c r="E66" s="90"/>
      <c r="J66" s="101"/>
    </row>
    <row r="67" spans="1:10" s="83" customFormat="1" x14ac:dyDescent="0.35">
      <c r="A67" s="42"/>
      <c r="B67" s="90"/>
      <c r="E67" s="90"/>
      <c r="F67" s="84"/>
      <c r="J67" s="101"/>
    </row>
    <row r="68" spans="1:10" s="83" customFormat="1" x14ac:dyDescent="0.35">
      <c r="A68" s="42"/>
      <c r="B68" s="90"/>
      <c r="E68" s="90"/>
      <c r="J68" s="101"/>
    </row>
    <row r="69" spans="1:10" s="83" customFormat="1" x14ac:dyDescent="0.35">
      <c r="A69" s="41" t="s">
        <v>16</v>
      </c>
      <c r="B69" s="90"/>
      <c r="E69" s="90"/>
      <c r="J69" s="101"/>
    </row>
    <row r="70" spans="1:10" s="83" customFormat="1" x14ac:dyDescent="0.35">
      <c r="A70" s="42" t="s">
        <v>43</v>
      </c>
      <c r="B70" s="90">
        <f>G18</f>
        <v>3500.0000000000005</v>
      </c>
      <c r="C70" s="114">
        <f>(('Année 2'!D18+'Année 2'!F18)/'Année 2'!B91)-(('Année 3'!D18+'Année 3'!F18)/'Année 3'!B92)</f>
        <v>-44.444444444444443</v>
      </c>
      <c r="D70" s="83">
        <f>IF('Année 2'!G18=0,"C70*(G18/(F18+D18)",C70*('Année 2'!G18/('Année 2'!D18+'Année 2'!F18)))</f>
        <v>-3.1111111111111112</v>
      </c>
      <c r="E70" s="90"/>
      <c r="J70" s="101"/>
    </row>
    <row r="71" spans="1:10" s="83" customFormat="1" x14ac:dyDescent="0.35">
      <c r="A71" s="42" t="s">
        <v>44</v>
      </c>
      <c r="B71" s="90">
        <f>G19</f>
        <v>0.35000000000000003</v>
      </c>
      <c r="C71" s="114">
        <f>(('Année 2'!D19+'Année 2'!F19)/'Année 2'!B91)-(('Année 3'!D19+'Année 3'!F19)/'Année 3'!B92)</f>
        <v>1.1055555555555556</v>
      </c>
      <c r="D71" s="83">
        <f>IF('Année 2'!G19=0,"C71*(G19/(F19+D19)",C71*('Année 2'!G19/('Année 2'!D19+'Année 2'!F19)))</f>
        <v>7.7388888888888896E-2</v>
      </c>
      <c r="E71" s="90"/>
      <c r="J71" s="101"/>
    </row>
    <row r="72" spans="1:10" s="83" customFormat="1" x14ac:dyDescent="0.35">
      <c r="A72" s="42" t="s">
        <v>4</v>
      </c>
      <c r="B72" s="90">
        <f>G20</f>
        <v>12.5</v>
      </c>
      <c r="C72" s="114">
        <f>(('Année 2'!D20+'Année 2'!F20)/'Année 2'!B91)-(('Année 3'!D20+'Année 3'!F20)/'Année 3'!B92)</f>
        <v>0.55000000000000004</v>
      </c>
      <c r="D72" s="83">
        <f>IF('Année 2'!G20=0,"C72*(G20/(F20+D20)",C72*('Année 2'!G20/('Année 2'!D20+'Année 2'!F20)))</f>
        <v>1.375</v>
      </c>
      <c r="E72" s="90"/>
      <c r="J72" s="101"/>
    </row>
    <row r="73" spans="1:10" s="83" customFormat="1" x14ac:dyDescent="0.35">
      <c r="A73" s="42" t="s">
        <v>17</v>
      </c>
      <c r="B73" s="90">
        <f>G21</f>
        <v>12.5</v>
      </c>
      <c r="C73" s="114">
        <f>(('Année 2'!D21+'Année 2'!F21)/'Année 2'!B91)-(('Année 3'!D21+'Année 3'!F21)/'Année 3'!B92)</f>
        <v>5.5555555555555558E-3</v>
      </c>
      <c r="D73" s="83">
        <f>IF('Année 2'!G21=0,"C73*(G21/(F21+D21)",C73*('Année 2'!G21/('Année 2'!D21+'Année 2'!F21)))</f>
        <v>1.388888888888889E-2</v>
      </c>
      <c r="E73" s="90"/>
      <c r="J73" s="101"/>
    </row>
    <row r="74" spans="1:10" s="83" customFormat="1" x14ac:dyDescent="0.35">
      <c r="A74" s="42" t="s">
        <v>18</v>
      </c>
      <c r="B74" s="90">
        <f>G22</f>
        <v>11.75</v>
      </c>
      <c r="C74" s="114">
        <f>(('Année 2'!D22+'Année 2'!F22)/'Année 2'!B91)-(('Année 3'!D22+'Année 3'!F22)/'Année 3'!B92)</f>
        <v>1.6666666666666666E-2</v>
      </c>
      <c r="D74" s="83">
        <f>IF('Année 2'!G22=0,"C74*(G22/(F22+D22)",C74*('Année 2'!G22/('Année 2'!D22+'Année 2'!F22)))</f>
        <v>3.9166666666666669E-2</v>
      </c>
      <c r="E74" s="90"/>
      <c r="J74" s="101"/>
    </row>
    <row r="75" spans="1:10" s="83" customFormat="1" x14ac:dyDescent="0.35">
      <c r="A75" s="43"/>
      <c r="B75" s="90"/>
      <c r="C75" s="114"/>
      <c r="E75" s="90"/>
      <c r="J75" s="101"/>
    </row>
    <row r="76" spans="1:10" s="83" customFormat="1" x14ac:dyDescent="0.35">
      <c r="A76" s="41"/>
      <c r="B76" s="90"/>
      <c r="C76" s="114"/>
      <c r="E76" s="90"/>
      <c r="J76" s="101"/>
    </row>
    <row r="77" spans="1:10" s="83" customFormat="1" x14ac:dyDescent="0.35">
      <c r="A77" s="42"/>
      <c r="B77" s="90"/>
      <c r="C77" s="114"/>
      <c r="E77" s="90"/>
      <c r="J77" s="101"/>
    </row>
    <row r="78" spans="1:10" s="83" customFormat="1" x14ac:dyDescent="0.35">
      <c r="A78" s="42"/>
      <c r="B78" s="90"/>
      <c r="C78" s="114"/>
      <c r="E78" s="90"/>
      <c r="J78" s="101"/>
    </row>
    <row r="79" spans="1:10" s="83" customFormat="1" x14ac:dyDescent="0.35">
      <c r="A79" s="44"/>
      <c r="B79" s="90"/>
      <c r="C79" s="114"/>
      <c r="E79" s="90"/>
      <c r="J79" s="101"/>
    </row>
    <row r="80" spans="1:10" s="83" customFormat="1" x14ac:dyDescent="0.35">
      <c r="A80" s="41"/>
      <c r="B80" s="90"/>
      <c r="C80" s="114"/>
      <c r="E80" s="90"/>
      <c r="J80" s="101"/>
    </row>
    <row r="81" spans="1:10" s="83" customFormat="1" x14ac:dyDescent="0.35">
      <c r="A81" s="41" t="s">
        <v>19</v>
      </c>
      <c r="B81" s="90"/>
      <c r="C81" s="114"/>
      <c r="E81" s="90"/>
      <c r="J81" s="101"/>
    </row>
    <row r="82" spans="1:10" s="83" customFormat="1" x14ac:dyDescent="0.35">
      <c r="A82" s="42" t="s">
        <v>20</v>
      </c>
      <c r="B82" s="90">
        <f>G30</f>
        <v>0</v>
      </c>
      <c r="C82" s="114">
        <f>(('Année 2'!D30+'Année 2'!F30)/'Année 2'!B91)-(('Année 3'!D30+'Année 3'!F30)/'Année 3'!B92)</f>
        <v>4.4444444444444444E-3</v>
      </c>
      <c r="D82" s="83">
        <f>IF('Année 2'!G30=0,"C82*(G30/(F30+D30)",C82*('Année 2'!G30/('Année 2'!D30+'Année 2'!F30)))</f>
        <v>1.3333333333333333</v>
      </c>
      <c r="E82" s="90"/>
      <c r="J82" s="101"/>
    </row>
    <row r="83" spans="1:10" s="83" customFormat="1" x14ac:dyDescent="0.35">
      <c r="A83" s="42" t="s">
        <v>21</v>
      </c>
      <c r="B83" s="90">
        <f>G31</f>
        <v>600</v>
      </c>
      <c r="C83" s="114">
        <f>(('Année 2'!D31+'Année 2'!F31)/'Année 2'!B91)-(('Année 3'!D31+'Année 3'!F31)/'Année 3'!B92)</f>
        <v>-3.3333333333333331E-3</v>
      </c>
      <c r="D83" s="83">
        <f>IF('Année 2'!G31=0,"C83*(G31/(F31+D31)",C83*('Année 2'!G31/('Année 2'!D31+'Année 2'!F31)))</f>
        <v>-0.49999999999999994</v>
      </c>
      <c r="E83" s="90"/>
      <c r="J83" s="101"/>
    </row>
    <row r="84" spans="1:10" s="83" customFormat="1" x14ac:dyDescent="0.35">
      <c r="A84" s="43" t="s">
        <v>22</v>
      </c>
      <c r="B84" s="90"/>
      <c r="C84" s="114"/>
      <c r="E84" s="90"/>
      <c r="J84" s="101"/>
    </row>
    <row r="85" spans="1:10" s="83" customFormat="1" x14ac:dyDescent="0.35">
      <c r="A85" s="42"/>
      <c r="B85" s="90"/>
      <c r="C85" s="114">
        <f>(('Année 2'!D33+'Année 2'!F33)/'Année 2'!B91)-(('Année 3'!D33+'Année 3'!F33)/'Année 3'!B92)</f>
        <v>2.2222222222222222E-3</v>
      </c>
      <c r="D85" s="83">
        <f>IF('Année 2'!G33=0,"C85*(G33/(F33+D33)",C85*('Année 2'!G33/('Année 2'!D33+'Année 2'!F33)))</f>
        <v>0.55555555555555558</v>
      </c>
      <c r="E85" s="90"/>
      <c r="J85" s="101"/>
    </row>
    <row r="86" spans="1:10" s="83" customFormat="1" ht="26.5" x14ac:dyDescent="0.35">
      <c r="A86" s="45" t="s">
        <v>23</v>
      </c>
      <c r="B86" s="90">
        <f>G34</f>
        <v>3000</v>
      </c>
      <c r="C86" s="114">
        <f>(('Année 2'!D34+'Année 2'!F34)/'Année 2'!B91)-(('Année 3'!D34+'Année 3'!F34)/'Année 3'!B92)</f>
        <v>-4.4444444444444446</v>
      </c>
      <c r="D86" s="83">
        <f>IF('Année 2'!G34=0,"C86*(G34/(F34+D34)",C86*('Année 2'!G34/('Année 2'!D34+'Année 2'!F34)))</f>
        <v>-2.2222222222222223</v>
      </c>
      <c r="E86" s="90"/>
      <c r="J86" s="101"/>
    </row>
    <row r="87" spans="1:10" s="83" customFormat="1" x14ac:dyDescent="0.35">
      <c r="A87" s="72" t="s">
        <v>32</v>
      </c>
      <c r="B87" s="91">
        <f>SUM(B58:B86)-B65</f>
        <v>15622.099999999999</v>
      </c>
      <c r="C87" s="84"/>
      <c r="D87" s="84"/>
      <c r="E87" s="91"/>
      <c r="J87" s="101"/>
    </row>
    <row r="88" spans="1:10" s="83" customFormat="1" x14ac:dyDescent="0.35">
      <c r="A88" s="72" t="s">
        <v>42</v>
      </c>
      <c r="B88" s="91">
        <f>'Carbones à répercuter'!I41</f>
        <v>-1106.666666666667</v>
      </c>
      <c r="E88" s="90"/>
      <c r="J88" s="101"/>
    </row>
    <row r="89" spans="1:10" s="83" customFormat="1" x14ac:dyDescent="0.35">
      <c r="A89" s="72" t="s">
        <v>46</v>
      </c>
      <c r="B89" s="91">
        <f>B87+B88</f>
        <v>14515.433333333331</v>
      </c>
      <c r="E89" s="90"/>
      <c r="J89" s="101"/>
    </row>
    <row r="90" spans="1:10" s="83" customFormat="1" x14ac:dyDescent="0.35">
      <c r="A90" s="45" t="s">
        <v>56</v>
      </c>
      <c r="B90" s="90"/>
      <c r="E90" s="90"/>
      <c r="J90" s="101"/>
    </row>
    <row r="91" spans="1:10" s="83" customFormat="1" x14ac:dyDescent="0.35">
      <c r="A91" s="72" t="s">
        <v>55</v>
      </c>
      <c r="B91" s="91">
        <f>B89</f>
        <v>14515.433333333331</v>
      </c>
      <c r="E91" s="90"/>
      <c r="J91" s="101"/>
    </row>
    <row r="92" spans="1:10" s="83" customFormat="1" ht="29" x14ac:dyDescent="0.35">
      <c r="A92" s="98" t="s">
        <v>90</v>
      </c>
      <c r="B92" s="90">
        <f>B39*B40</f>
        <v>900</v>
      </c>
      <c r="E92" s="90"/>
      <c r="J92" s="101"/>
    </row>
    <row r="93" spans="1:10" s="83" customFormat="1" x14ac:dyDescent="0.35">
      <c r="A93" s="72" t="s">
        <v>65</v>
      </c>
      <c r="B93" s="91">
        <f>B91/B92</f>
        <v>16.128259259259256</v>
      </c>
      <c r="E93" s="90"/>
      <c r="J93" s="101"/>
    </row>
    <row r="94" spans="1:10" s="83" customFormat="1" x14ac:dyDescent="0.35">
      <c r="A94" s="72"/>
      <c r="B94" s="91"/>
      <c r="E94" s="90"/>
      <c r="J94" s="101"/>
    </row>
    <row r="95" spans="1:10" s="83" customFormat="1" ht="18.5" x14ac:dyDescent="0.45">
      <c r="A95" s="80" t="s">
        <v>82</v>
      </c>
      <c r="E95" s="90"/>
      <c r="J95" s="101"/>
    </row>
    <row r="96" spans="1:10" s="83" customFormat="1" x14ac:dyDescent="0.35">
      <c r="E96" s="90"/>
      <c r="J96" s="101"/>
    </row>
    <row r="97" spans="1:10" s="83" customFormat="1" x14ac:dyDescent="0.35">
      <c r="A97" s="40" t="s">
        <v>83</v>
      </c>
      <c r="B97" s="91">
        <f>SUM(D70:D86)*'Année 2'!B91</f>
        <v>-2195.1000000000004</v>
      </c>
      <c r="E97" s="90"/>
      <c r="J97" s="101"/>
    </row>
    <row r="98" spans="1:10" s="83" customFormat="1" x14ac:dyDescent="0.35">
      <c r="A98" s="40" t="s">
        <v>85</v>
      </c>
      <c r="B98" s="91"/>
      <c r="E98" s="90"/>
      <c r="J98" s="101"/>
    </row>
    <row r="99" spans="1:10" s="83" customFormat="1" x14ac:dyDescent="0.35">
      <c r="A99" s="40" t="s">
        <v>84</v>
      </c>
      <c r="B99" s="91"/>
      <c r="E99" s="90"/>
      <c r="J99" s="101"/>
    </row>
    <row r="100" spans="1:10" s="83" customFormat="1" x14ac:dyDescent="0.35">
      <c r="A100" s="40" t="s">
        <v>30</v>
      </c>
      <c r="B100" s="91">
        <f>SUM(B97:B99)</f>
        <v>-2195.1000000000004</v>
      </c>
      <c r="E100" s="90"/>
      <c r="J100" s="101"/>
    </row>
    <row r="101" spans="1:10" s="83" customFormat="1" x14ac:dyDescent="0.35">
      <c r="B101" s="91"/>
      <c r="E101" s="90"/>
      <c r="J101" s="101"/>
    </row>
    <row r="102" spans="1:10" x14ac:dyDescent="0.35">
      <c r="B102" s="91"/>
    </row>
    <row r="103" spans="1:10" x14ac:dyDescent="0.35">
      <c r="A103" s="45"/>
      <c r="B103" s="46"/>
    </row>
    <row r="105" spans="1:10" ht="18.5" x14ac:dyDescent="0.45">
      <c r="A105" s="73"/>
    </row>
    <row r="106" spans="1:10" x14ac:dyDescent="0.35">
      <c r="A106" s="74"/>
      <c r="B106" s="56"/>
    </row>
    <row r="107" spans="1:10" x14ac:dyDescent="0.35">
      <c r="A107" s="75"/>
    </row>
    <row r="108" spans="1:10" x14ac:dyDescent="0.35">
      <c r="A108" s="39"/>
      <c r="B108" s="46"/>
    </row>
    <row r="109" spans="1:10" x14ac:dyDescent="0.35">
      <c r="A109" s="39"/>
      <c r="B109" s="46"/>
    </row>
  </sheetData>
  <mergeCells count="3">
    <mergeCell ref="A2:K2"/>
    <mergeCell ref="A38:K38"/>
    <mergeCell ref="A48:F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Carbones à répercuter</vt:lpstr>
      <vt:lpstr>Année 1</vt:lpstr>
      <vt:lpstr>Année 2</vt:lpstr>
      <vt:lpstr>Année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Vanwormhoudt</dc:creator>
  <cp:lastModifiedBy>Valérie Vanwormhoudt</cp:lastModifiedBy>
  <dcterms:created xsi:type="dcterms:W3CDTF">2023-05-24T07:42:04Z</dcterms:created>
  <dcterms:modified xsi:type="dcterms:W3CDTF">2023-11-13T11:11:23Z</dcterms:modified>
</cp:coreProperties>
</file>