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erclesas-my.sharepoint.com/personal/valerie_vanwormhoudt_mycerclesas_onmicrosoft_com/Documents/R/Module CSF/"/>
    </mc:Choice>
  </mc:AlternateContent>
  <xr:revisionPtr revIDLastSave="0" documentId="8_{A4F81078-4113-4766-A243-FB170CEE56FB}" xr6:coauthVersionLast="47" xr6:coauthVersionMax="47" xr10:uidLastSave="{00000000-0000-0000-0000-000000000000}"/>
  <bookViews>
    <workbookView xWindow="-110" yWindow="-110" windowWidth="19420" windowHeight="10420" activeTab="1" xr2:uid="{F31FE429-B7E5-4BD3-BE70-3AE968539A6C}"/>
  </bookViews>
  <sheets>
    <sheet name="Carbones à répercuter" sheetId="3" r:id="rId1"/>
    <sheet name="Année 1" sheetId="4" r:id="rId2"/>
    <sheet name="Année 2" sheetId="5" r:id="rId3"/>
    <sheet name="Année 3" sheetId="6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6" l="1"/>
  <c r="B102" i="5"/>
  <c r="D22" i="3"/>
  <c r="D21" i="3"/>
  <c r="D20" i="3"/>
  <c r="C20" i="3"/>
  <c r="G32" i="4"/>
  <c r="G33" i="6" l="1"/>
  <c r="C64" i="5" l="1"/>
  <c r="G33" i="5"/>
  <c r="B76" i="4"/>
  <c r="G33" i="4"/>
  <c r="G30" i="4"/>
  <c r="G9" i="4"/>
  <c r="G8" i="4"/>
  <c r="B90" i="6"/>
  <c r="B84" i="6"/>
  <c r="F40" i="3" s="1"/>
  <c r="C83" i="6"/>
  <c r="B83" i="6"/>
  <c r="C82" i="6"/>
  <c r="D82" i="6" s="1"/>
  <c r="B82" i="6"/>
  <c r="C80" i="6"/>
  <c r="D80" i="6" s="1"/>
  <c r="B80" i="6"/>
  <c r="C79" i="6"/>
  <c r="B79" i="6"/>
  <c r="D77" i="6"/>
  <c r="C77" i="6"/>
  <c r="B77" i="6"/>
  <c r="C76" i="6"/>
  <c r="B76" i="6"/>
  <c r="C75" i="6"/>
  <c r="D75" i="6" s="1"/>
  <c r="B75" i="6"/>
  <c r="C74" i="6"/>
  <c r="B74" i="6"/>
  <c r="D71" i="6"/>
  <c r="C71" i="6"/>
  <c r="B71" i="6"/>
  <c r="C70" i="6"/>
  <c r="D70" i="6" s="1"/>
  <c r="B70" i="6"/>
  <c r="C69" i="6"/>
  <c r="B69" i="6"/>
  <c r="C68" i="6"/>
  <c r="D68" i="6" s="1"/>
  <c r="B68" i="6"/>
  <c r="C67" i="6"/>
  <c r="B67" i="6"/>
  <c r="C65" i="6"/>
  <c r="B65" i="6"/>
  <c r="C64" i="6"/>
  <c r="D64" i="6" s="1"/>
  <c r="B64" i="6"/>
  <c r="B62" i="6"/>
  <c r="B61" i="6"/>
  <c r="B60" i="6"/>
  <c r="B59" i="6"/>
  <c r="B58" i="6"/>
  <c r="B57" i="6"/>
  <c r="B55" i="6"/>
  <c r="B50" i="6"/>
  <c r="G34" i="6"/>
  <c r="G31" i="6"/>
  <c r="G30" i="6"/>
  <c r="G28" i="6"/>
  <c r="G27" i="6"/>
  <c r="G26" i="6"/>
  <c r="G25" i="6"/>
  <c r="G22" i="6"/>
  <c r="G21" i="6"/>
  <c r="G20" i="6"/>
  <c r="G19" i="6"/>
  <c r="G18" i="6"/>
  <c r="G16" i="6"/>
  <c r="G15" i="6"/>
  <c r="G13" i="6"/>
  <c r="G12" i="6"/>
  <c r="G11" i="6"/>
  <c r="G10" i="6"/>
  <c r="G9" i="6"/>
  <c r="B1" i="6"/>
  <c r="B90" i="5"/>
  <c r="C83" i="5"/>
  <c r="D83" i="5" s="1"/>
  <c r="C82" i="5"/>
  <c r="D82" i="5" s="1"/>
  <c r="C80" i="5"/>
  <c r="D80" i="5" s="1"/>
  <c r="C79" i="5"/>
  <c r="D79" i="5" s="1"/>
  <c r="B79" i="5"/>
  <c r="C77" i="5"/>
  <c r="D77" i="5" s="1"/>
  <c r="D76" i="5"/>
  <c r="C76" i="5"/>
  <c r="C75" i="5"/>
  <c r="D75" i="5" s="1"/>
  <c r="C74" i="5"/>
  <c r="D74" i="5" s="1"/>
  <c r="B74" i="5"/>
  <c r="C71" i="5"/>
  <c r="D71" i="5" s="1"/>
  <c r="D70" i="5"/>
  <c r="C70" i="5"/>
  <c r="B70" i="5"/>
  <c r="C69" i="5"/>
  <c r="D69" i="5" s="1"/>
  <c r="C68" i="5"/>
  <c r="D68" i="5" s="1"/>
  <c r="B68" i="5"/>
  <c r="C67" i="5"/>
  <c r="D67" i="5" s="1"/>
  <c r="D65" i="5"/>
  <c r="C65" i="5"/>
  <c r="B64" i="5"/>
  <c r="B59" i="5"/>
  <c r="B58" i="5"/>
  <c r="B55" i="5"/>
  <c r="B52" i="5"/>
  <c r="B50" i="5"/>
  <c r="G34" i="5"/>
  <c r="D83" i="6" s="1"/>
  <c r="G31" i="5"/>
  <c r="B80" i="5" s="1"/>
  <c r="G30" i="5"/>
  <c r="G28" i="5"/>
  <c r="B77" i="5" s="1"/>
  <c r="G27" i="5"/>
  <c r="B76" i="5" s="1"/>
  <c r="G26" i="5"/>
  <c r="B75" i="5" s="1"/>
  <c r="G25" i="5"/>
  <c r="G22" i="5"/>
  <c r="B71" i="5" s="1"/>
  <c r="G21" i="5"/>
  <c r="G20" i="5"/>
  <c r="D69" i="6" s="1"/>
  <c r="G19" i="5"/>
  <c r="G18" i="5"/>
  <c r="D67" i="6" s="1"/>
  <c r="G16" i="5"/>
  <c r="B65" i="5" s="1"/>
  <c r="G15" i="5"/>
  <c r="G13" i="5"/>
  <c r="B61" i="5" s="1"/>
  <c r="G12" i="5"/>
  <c r="B60" i="5" s="1"/>
  <c r="G10" i="5"/>
  <c r="G9" i="5"/>
  <c r="B57" i="5" s="1"/>
  <c r="B1" i="5"/>
  <c r="B84" i="4"/>
  <c r="B77" i="4"/>
  <c r="B74" i="4"/>
  <c r="B73" i="4"/>
  <c r="B71" i="4"/>
  <c r="B70" i="4"/>
  <c r="B69" i="4"/>
  <c r="B68" i="4"/>
  <c r="B65" i="4"/>
  <c r="B64" i="4"/>
  <c r="B63" i="4"/>
  <c r="B62" i="4"/>
  <c r="B61" i="4"/>
  <c r="B59" i="4"/>
  <c r="B58" i="4"/>
  <c r="B56" i="4"/>
  <c r="B55" i="4"/>
  <c r="B54" i="4"/>
  <c r="B53" i="4"/>
  <c r="B52" i="4"/>
  <c r="B51" i="4"/>
  <c r="B49" i="4"/>
  <c r="B78" i="4" s="1"/>
  <c r="B44" i="4"/>
  <c r="G29" i="4"/>
  <c r="G27" i="4"/>
  <c r="G26" i="4"/>
  <c r="G25" i="4"/>
  <c r="G24" i="4"/>
  <c r="G21" i="4"/>
  <c r="G20" i="4"/>
  <c r="G19" i="4"/>
  <c r="G18" i="4"/>
  <c r="G17" i="4"/>
  <c r="G15" i="4"/>
  <c r="G14" i="4"/>
  <c r="G12" i="4"/>
  <c r="G11" i="4"/>
  <c r="G10" i="4"/>
  <c r="B1" i="4"/>
  <c r="B40" i="3"/>
  <c r="B39" i="3"/>
  <c r="B38" i="3"/>
  <c r="G32" i="3"/>
  <c r="G31" i="3"/>
  <c r="G30" i="3"/>
  <c r="G29" i="3"/>
  <c r="G28" i="3"/>
  <c r="G27" i="3"/>
  <c r="C22" i="3"/>
  <c r="C21" i="3"/>
  <c r="B20" i="3"/>
  <c r="B19" i="3"/>
  <c r="B18" i="3"/>
  <c r="G13" i="3"/>
  <c r="G12" i="3"/>
  <c r="G11" i="3"/>
  <c r="G10" i="3"/>
  <c r="G9" i="3"/>
  <c r="B62" i="5" l="1"/>
  <c r="B67" i="5"/>
  <c r="D76" i="6"/>
  <c r="B83" i="5"/>
  <c r="D74" i="6"/>
  <c r="B100" i="6" s="1"/>
  <c r="B69" i="5"/>
  <c r="D65" i="6"/>
  <c r="D79" i="6"/>
  <c r="D64" i="5"/>
  <c r="B100" i="5" s="1"/>
  <c r="B82" i="5"/>
  <c r="F38" i="3"/>
  <c r="B84" i="5" l="1"/>
  <c r="F39" i="3" s="1"/>
  <c r="H40" i="3" s="1"/>
  <c r="C40" i="3" s="1"/>
  <c r="H38" i="3"/>
  <c r="C38" i="3" s="1"/>
  <c r="G38" i="3"/>
  <c r="I38" i="3" s="1"/>
  <c r="B79" i="4" s="1"/>
  <c r="B80" i="4" s="1"/>
  <c r="B83" i="4" s="1"/>
  <c r="G40" i="3" l="1"/>
  <c r="I40" i="3" s="1"/>
  <c r="B85" i="6" s="1"/>
  <c r="B86" i="6" s="1"/>
  <c r="B89" i="6" s="1"/>
  <c r="B49" i="6" s="1"/>
  <c r="B51" i="6" s="1"/>
  <c r="B101" i="6" s="1"/>
  <c r="B103" i="6" s="1"/>
  <c r="B52" i="6" s="1"/>
  <c r="G39" i="3"/>
  <c r="I39" i="3" s="1"/>
  <c r="B85" i="5" s="1"/>
  <c r="B86" i="5" s="1"/>
  <c r="B89" i="5" s="1"/>
  <c r="B49" i="5" s="1"/>
  <c r="B51" i="5" s="1"/>
  <c r="B101" i="5" s="1"/>
  <c r="B103" i="5" s="1"/>
  <c r="H39" i="3"/>
  <c r="C39" i="3" s="1"/>
  <c r="B45" i="4"/>
  <c r="B85" i="4" s="1"/>
  <c r="B43" i="4"/>
  <c r="B91" i="5" l="1"/>
  <c r="B91" i="6"/>
</calcChain>
</file>

<file path=xl/sharedStrings.xml><?xml version="1.0" encoding="utf-8"?>
<sst xmlns="http://schemas.openxmlformats.org/spreadsheetml/2006/main" count="418" uniqueCount="111">
  <si>
    <t>Actifs mobiliers significatifs présents au bilan d’ouverture de l’année de démarrage</t>
  </si>
  <si>
    <t>Actifs mobiliers significatifs</t>
  </si>
  <si>
    <t>Immobilier sur &lt; 15 ans</t>
  </si>
  <si>
    <t>Machines</t>
  </si>
  <si>
    <t>Ordinateurs</t>
  </si>
  <si>
    <t>Logiciels</t>
  </si>
  <si>
    <t>Véhicules</t>
  </si>
  <si>
    <t xml:space="preserve">€ dans les comptes </t>
  </si>
  <si>
    <t>Gaz</t>
  </si>
  <si>
    <t>€</t>
  </si>
  <si>
    <t>kg</t>
  </si>
  <si>
    <t>Année d’entrée au bilan</t>
  </si>
  <si>
    <t xml:space="preserve">Année </t>
  </si>
  <si>
    <t>m2</t>
  </si>
  <si>
    <t>Année</t>
  </si>
  <si>
    <t>Lignes à remplir</t>
  </si>
  <si>
    <t xml:space="preserve">3-Autre charges immobilisées </t>
  </si>
  <si>
    <t xml:space="preserve">Travaux immobiliers </t>
  </si>
  <si>
    <t xml:space="preserve">Machines </t>
  </si>
  <si>
    <t>Ordinateurs hors bureautique</t>
  </si>
  <si>
    <t xml:space="preserve">Véhicules </t>
  </si>
  <si>
    <t>Autres charges significatives en carbones</t>
  </si>
  <si>
    <t xml:space="preserve">4-Loyers </t>
  </si>
  <si>
    <t>5-Charges locatives y compris chauffage</t>
  </si>
  <si>
    <t>6-Energie</t>
  </si>
  <si>
    <t>Carburant</t>
  </si>
  <si>
    <t>Bois</t>
  </si>
  <si>
    <t xml:space="preserve">7-Transport </t>
  </si>
  <si>
    <t>Transport de collaborateurs remboursés</t>
  </si>
  <si>
    <t>Voiture personnelle ou location</t>
  </si>
  <si>
    <t>Taxis</t>
  </si>
  <si>
    <t>Train</t>
  </si>
  <si>
    <t>Avion</t>
  </si>
  <si>
    <t>8-Bureautique</t>
  </si>
  <si>
    <t xml:space="preserve">PC </t>
  </si>
  <si>
    <t>Ordinateurs portables</t>
  </si>
  <si>
    <t>9-Autres charges significatives en carbones</t>
  </si>
  <si>
    <t>10- Autres charges non significatives en carbones</t>
  </si>
  <si>
    <t>KWH</t>
  </si>
  <si>
    <t>m3</t>
  </si>
  <si>
    <t>l</t>
  </si>
  <si>
    <t>km</t>
  </si>
  <si>
    <t>Ecran</t>
  </si>
  <si>
    <t>Nombre d’unités vendues</t>
  </si>
  <si>
    <t>Valeur monétaire des ventes</t>
  </si>
  <si>
    <t>Nombre de journées ouvrées</t>
  </si>
  <si>
    <t>Amortissement immobilier</t>
  </si>
  <si>
    <r>
      <t xml:space="preserve">2-Charges immobilières </t>
    </r>
    <r>
      <rPr>
        <sz val="10"/>
        <color theme="4"/>
        <rFont val="Calibri"/>
        <family val="2"/>
        <scheme val="minor"/>
      </rPr>
      <t xml:space="preserve">déjà renseignées en page Bilan </t>
    </r>
  </si>
  <si>
    <t>Total</t>
  </si>
  <si>
    <t>Mécanisme de lissage</t>
  </si>
  <si>
    <t xml:space="preserve">Poids brut des charges </t>
  </si>
  <si>
    <t xml:space="preserve">3-Autres charges immobilisées </t>
  </si>
  <si>
    <t>Total autres charges immobilisées</t>
  </si>
  <si>
    <t xml:space="preserve">Poids de clôture </t>
  </si>
  <si>
    <t>Immobilier</t>
  </si>
  <si>
    <t>Lissage</t>
  </si>
  <si>
    <t xml:space="preserve">Amortissement de l'année </t>
  </si>
  <si>
    <t>Poids de clôture</t>
  </si>
  <si>
    <t>Poids de lissage</t>
  </si>
  <si>
    <t>Immobilisations à lisser de l'année</t>
  </si>
  <si>
    <t>Amortissement de l'année</t>
  </si>
  <si>
    <t>Poids à amortir</t>
  </si>
  <si>
    <t>Données à saisir sur les ventes</t>
  </si>
  <si>
    <t xml:space="preserve">Impact du lissage </t>
  </si>
  <si>
    <t xml:space="preserve">11- Carbones introduits </t>
  </si>
  <si>
    <t xml:space="preserve">12- Carbones capturés </t>
  </si>
  <si>
    <t>Soldes des carbones de la production et des ventes</t>
  </si>
  <si>
    <t>Solde sur l'année</t>
  </si>
  <si>
    <t>Solde cumulé du compte d'équilibre</t>
  </si>
  <si>
    <t>Le suivi des poids de vente s'ils sont pilotés</t>
  </si>
  <si>
    <t>Electricité chauffage</t>
  </si>
  <si>
    <t>Autre électricité</t>
  </si>
  <si>
    <t xml:space="preserve">Poids après lissage des charges </t>
  </si>
  <si>
    <t>Carbones à répercuter</t>
  </si>
  <si>
    <t>Actifs et gros travaux immobiliers (amortis sur 15 ans ou plus)</t>
  </si>
  <si>
    <t>A – Calcul des poids en carbones à partir du bilan d'ouverture puis de chaque année</t>
  </si>
  <si>
    <t>Voir Mode d'emploi pour l'explication des colonnes</t>
  </si>
  <si>
    <t>B- Récapitulation des poids ajoutés chaque année</t>
  </si>
  <si>
    <t>Carbones restant à répercuter à la fin de chaque exercice</t>
  </si>
  <si>
    <t>C- Donnée à saisir pour le résultat de décarbonation</t>
  </si>
  <si>
    <t>Poids total des ventes indiqué aux clients (s'il est piloté par l'entreprise)</t>
  </si>
  <si>
    <t>Poids de la production = Empreinte de l'entreprise</t>
  </si>
  <si>
    <t>A - Poids de la production</t>
  </si>
  <si>
    <t>Voir les aides au remplissage sur l'onglet de l'année 1</t>
  </si>
  <si>
    <r>
      <t xml:space="preserve">1-Charges sans carbones </t>
    </r>
    <r>
      <rPr>
        <sz val="10"/>
        <color rgb="FF4472C4"/>
        <rFont val="Calibri"/>
        <family val="2"/>
        <scheme val="minor"/>
      </rPr>
      <t>(salaires chargés, emprunts, taxes…)</t>
    </r>
  </si>
  <si>
    <r>
      <t xml:space="preserve">1-Charges sans carbones </t>
    </r>
    <r>
      <rPr>
        <sz val="10"/>
        <color rgb="FF4472C4"/>
        <rFont val="Calibri"/>
        <family val="2"/>
        <scheme val="minor"/>
      </rPr>
      <t xml:space="preserve">(salaires chargés, emprunts, taxes…) </t>
    </r>
  </si>
  <si>
    <t>Chiffres carbone de l’année</t>
  </si>
  <si>
    <t>Quantité vendue</t>
  </si>
  <si>
    <t>Contribution au résultat</t>
  </si>
  <si>
    <t>Variation de quantité à l'unité produite</t>
  </si>
  <si>
    <t>Unité de quantité de l'achat</t>
  </si>
  <si>
    <t>Poids total calculé en CO2</t>
  </si>
  <si>
    <t>Quantités SANS poids CO2 indiqués</t>
  </si>
  <si>
    <t>Quantités AVEC poids CO2 indiqués</t>
  </si>
  <si>
    <t>Poids de CO2 associé</t>
  </si>
  <si>
    <t>Poids unitaire (ou facteur d'émission) utilisé</t>
  </si>
  <si>
    <t>Solde d'éventuels accords de partage</t>
  </si>
  <si>
    <t>Détail du poids de la production en carbones</t>
  </si>
  <si>
    <t>Votre exercice de démarrage</t>
  </si>
  <si>
    <t>Compléter par le poids de toute charge excédent 10% des charges carbonées</t>
  </si>
  <si>
    <t>source expert carbone</t>
  </si>
  <si>
    <t>Poids de la production (= empreinte de l’entreprise scopes 1 + 2 + 3 amont)</t>
  </si>
  <si>
    <t>Poids unitaire du produit</t>
  </si>
  <si>
    <t>Résultat de décarbonation de l’entreprise</t>
  </si>
  <si>
    <t>Poids unitaire</t>
  </si>
  <si>
    <t>Effet Poids unitaire</t>
  </si>
  <si>
    <t>Poids de référence du produit </t>
  </si>
  <si>
    <t>Celui de la moyenne des producteurs cette année là</t>
  </si>
  <si>
    <t>Effet variation des quantités vendues</t>
  </si>
  <si>
    <t>Solde d'accords de partage</t>
  </si>
  <si>
    <t>Décarbonation annuelle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</si>
</sst>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4472C4"/>
      <name val="Calibri"/>
      <family val="2"/>
      <scheme val="minor"/>
    </font>
    <font>
      <sz val="10"/>
      <color rgb="FF4472C4"/>
      <name val="Calibri"/>
      <family val="2"/>
      <scheme val="minor"/>
    </font>
    <font>
      <sz val="11"/>
      <color rgb="FF4472C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vertical="center" wrapText="1"/>
    </xf>
    <xf numFmtId="0" fontId="0" fillId="0" borderId="2" xfId="0" applyBorder="1"/>
    <xf numFmtId="0" fontId="5" fillId="0" borderId="2" xfId="0" applyFont="1" applyBorder="1"/>
    <xf numFmtId="0" fontId="10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wrapText="1"/>
    </xf>
    <xf numFmtId="0" fontId="0" fillId="2" borderId="2" xfId="0" applyFill="1" applyBorder="1"/>
    <xf numFmtId="0" fontId="15" fillId="0" borderId="2" xfId="0" applyFont="1" applyBorder="1"/>
    <xf numFmtId="0" fontId="16" fillId="0" borderId="2" xfId="0" applyFont="1" applyBorder="1"/>
    <xf numFmtId="0" fontId="4" fillId="0" borderId="2" xfId="0" applyFont="1" applyBorder="1"/>
    <xf numFmtId="0" fontId="4" fillId="2" borderId="2" xfId="0" applyFont="1" applyFill="1" applyBorder="1"/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5" fillId="0" borderId="2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17" fillId="0" borderId="0" xfId="0" applyFont="1" applyAlignment="1">
      <alignment horizontal="right" vertical="center"/>
    </xf>
    <xf numFmtId="0" fontId="4" fillId="0" borderId="1" xfId="0" applyFont="1" applyBorder="1"/>
    <xf numFmtId="0" fontId="4" fillId="0" borderId="0" xfId="0" applyFont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wrapText="1"/>
    </xf>
    <xf numFmtId="1" fontId="0" fillId="0" borderId="0" xfId="0" applyNumberFormat="1"/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22" fillId="0" borderId="0" xfId="0" applyFont="1"/>
    <xf numFmtId="0" fontId="4" fillId="0" borderId="3" xfId="0" applyFont="1" applyBorder="1"/>
    <xf numFmtId="0" fontId="23" fillId="0" borderId="0" xfId="0" applyFont="1" applyAlignment="1">
      <alignment horizontal="left"/>
    </xf>
    <xf numFmtId="164" fontId="0" fillId="0" borderId="0" xfId="0" applyNumberFormat="1"/>
    <xf numFmtId="0" fontId="23" fillId="0" borderId="0" xfId="0" applyFont="1" applyAlignment="1">
      <alignment horizontal="left" vertical="center"/>
    </xf>
    <xf numFmtId="0" fontId="4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4" xfId="0" applyBorder="1"/>
    <xf numFmtId="0" fontId="12" fillId="0" borderId="0" xfId="0" applyFont="1"/>
    <xf numFmtId="0" fontId="13" fillId="0" borderId="0" xfId="0" applyFont="1"/>
    <xf numFmtId="0" fontId="13" fillId="0" borderId="2" xfId="0" applyFont="1" applyBorder="1"/>
    <xf numFmtId="1" fontId="13" fillId="0" borderId="2" xfId="0" applyNumberFormat="1" applyFont="1" applyBorder="1"/>
    <xf numFmtId="0" fontId="4" fillId="0" borderId="0" xfId="0" applyFont="1" applyAlignment="1">
      <alignment horizontal="right" vertical="center" wrapText="1"/>
    </xf>
    <xf numFmtId="0" fontId="4" fillId="4" borderId="0" xfId="0" applyFont="1" applyFill="1"/>
    <xf numFmtId="1" fontId="18" fillId="0" borderId="0" xfId="0" applyNumberFormat="1" applyFont="1" applyAlignment="1">
      <alignment horizontal="center" vertical="center" wrapText="1"/>
    </xf>
    <xf numFmtId="165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3" borderId="0" xfId="0" applyFont="1" applyFill="1" applyAlignment="1">
      <alignment horizontal="center"/>
    </xf>
    <xf numFmtId="1" fontId="4" fillId="0" borderId="0" xfId="0" applyNumberFormat="1" applyFont="1"/>
    <xf numFmtId="0" fontId="0" fillId="5" borderId="0" xfId="0" applyFill="1"/>
    <xf numFmtId="0" fontId="4" fillId="4" borderId="1" xfId="0" applyFont="1" applyFill="1" applyBorder="1"/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0" fillId="0" borderId="0" xfId="0" applyFont="1" applyAlignment="1">
      <alignment wrapText="1"/>
    </xf>
    <xf numFmtId="0" fontId="6" fillId="0" borderId="0" xfId="0" applyFont="1" applyAlignment="1">
      <alignment wrapText="1"/>
    </xf>
    <xf numFmtId="2" fontId="13" fillId="0" borderId="0" xfId="0" applyNumberFormat="1" applyFont="1"/>
    <xf numFmtId="2" fontId="13" fillId="0" borderId="0" xfId="0" applyNumberFormat="1" applyFont="1" applyAlignment="1">
      <alignment horizontal="center"/>
    </xf>
    <xf numFmtId="1" fontId="13" fillId="0" borderId="0" xfId="0" applyNumberFormat="1" applyFont="1"/>
    <xf numFmtId="1" fontId="13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horizontal="center"/>
    </xf>
    <xf numFmtId="0" fontId="29" fillId="0" borderId="2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0" fillId="0" borderId="0" xfId="0" applyFont="1"/>
    <xf numFmtId="0" fontId="5" fillId="0" borderId="2" xfId="0" applyFont="1" applyBorder="1" applyAlignment="1">
      <alignment horizontal="center" wrapText="1"/>
    </xf>
    <xf numFmtId="0" fontId="0" fillId="0" borderId="6" xfId="0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8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cerclesas-my.sharepoint.com/personal/jerome_cazes_mycerclesas_onmicrosoft_com/Documents/Calculateur%20g&#233;n&#233;rique%2005%2009%2023.xlsx" TargetMode="External"/><Relationship Id="rId1" Type="http://schemas.openxmlformats.org/officeDocument/2006/relationships/externalLinkPath" Target="/personal/jerome_cazes_mycerclesas_onmicrosoft_com/Documents/Calculateur%20g&#233;n&#233;rique%2005%2009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bones à répercuter"/>
      <sheetName val="Année 1"/>
      <sheetName val="Année 2"/>
      <sheetName val="Année 3"/>
    </sheetNames>
    <sheetDataSet>
      <sheetData sheetId="0">
        <row r="3">
          <cell r="D3">
            <v>2022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A080-A365-4460-BC8A-03E17697B69A}">
  <dimension ref="A1:M45"/>
  <sheetViews>
    <sheetView zoomScale="90" zoomScaleNormal="90" workbookViewId="0">
      <selection activeCell="A46" sqref="A46"/>
    </sheetView>
  </sheetViews>
  <sheetFormatPr baseColWidth="10" defaultRowHeight="14.5" x14ac:dyDescent="0.35"/>
  <cols>
    <col min="10" max="11" width="13.6328125" bestFit="1" customWidth="1"/>
  </cols>
  <sheetData>
    <row r="1" spans="1:11" ht="18.5" x14ac:dyDescent="0.35">
      <c r="A1" s="77" t="s">
        <v>73</v>
      </c>
      <c r="B1" s="77"/>
    </row>
    <row r="2" spans="1:11" ht="18.5" x14ac:dyDescent="0.35">
      <c r="A2" s="77"/>
      <c r="B2" s="77"/>
    </row>
    <row r="3" spans="1:11" ht="18.5" x14ac:dyDescent="0.45">
      <c r="A3" s="65" t="s">
        <v>98</v>
      </c>
      <c r="B3" s="65"/>
      <c r="D3" s="114">
        <v>2022</v>
      </c>
    </row>
    <row r="5" spans="1:11" x14ac:dyDescent="0.35">
      <c r="A5" s="122" t="s">
        <v>74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x14ac:dyDescent="0.35">
      <c r="A6" s="123" t="s">
        <v>75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1" x14ac:dyDescent="0.35">
      <c r="A7" s="78"/>
      <c r="B7" s="121" t="s">
        <v>76</v>
      </c>
      <c r="C7" s="121"/>
      <c r="D7" s="121"/>
      <c r="E7" s="121"/>
      <c r="F7" s="121"/>
      <c r="G7" s="121"/>
    </row>
    <row r="8" spans="1:11" ht="52" x14ac:dyDescent="0.35">
      <c r="A8" s="9" t="s">
        <v>11</v>
      </c>
      <c r="B8" s="19" t="s">
        <v>7</v>
      </c>
      <c r="C8" s="108" t="s">
        <v>90</v>
      </c>
      <c r="D8" s="19" t="s">
        <v>93</v>
      </c>
      <c r="E8" s="19" t="s">
        <v>94</v>
      </c>
      <c r="F8" s="19" t="s">
        <v>92</v>
      </c>
      <c r="G8" s="108" t="s">
        <v>91</v>
      </c>
      <c r="H8" s="111"/>
      <c r="K8" s="6" t="s">
        <v>95</v>
      </c>
    </row>
    <row r="9" spans="1:11" x14ac:dyDescent="0.35">
      <c r="A9" s="8">
        <v>2015</v>
      </c>
      <c r="B9" s="14">
        <v>800000</v>
      </c>
      <c r="C9" s="15" t="s">
        <v>13</v>
      </c>
      <c r="D9" s="14">
        <v>0</v>
      </c>
      <c r="E9" s="14">
        <v>0</v>
      </c>
      <c r="F9" s="14">
        <v>100</v>
      </c>
      <c r="G9" s="15">
        <f>(F9*K9)+E9</f>
        <v>45000</v>
      </c>
      <c r="K9" s="7">
        <v>450</v>
      </c>
    </row>
    <row r="10" spans="1:11" x14ac:dyDescent="0.35">
      <c r="A10" s="8">
        <v>2020</v>
      </c>
      <c r="B10" s="14">
        <v>400000</v>
      </c>
      <c r="C10" s="15" t="s">
        <v>13</v>
      </c>
      <c r="D10" s="14">
        <v>56</v>
      </c>
      <c r="E10" s="14">
        <v>26000</v>
      </c>
      <c r="F10" s="14">
        <v>0</v>
      </c>
      <c r="G10" s="15">
        <f>(F10*K9)+E10</f>
        <v>26000</v>
      </c>
    </row>
    <row r="11" spans="1:11" x14ac:dyDescent="0.35">
      <c r="A11" s="8">
        <v>2022</v>
      </c>
      <c r="B11" s="14">
        <v>400000</v>
      </c>
      <c r="C11" s="15" t="s">
        <v>13</v>
      </c>
      <c r="D11" s="14">
        <v>0</v>
      </c>
      <c r="E11" s="14">
        <v>0</v>
      </c>
      <c r="F11" s="14">
        <v>50</v>
      </c>
      <c r="G11" s="15">
        <f>(F11*K9)+E11</f>
        <v>22500</v>
      </c>
    </row>
    <row r="12" spans="1:11" x14ac:dyDescent="0.35">
      <c r="A12" s="8">
        <v>2023</v>
      </c>
      <c r="B12" s="14">
        <v>0</v>
      </c>
      <c r="C12" s="15" t="s">
        <v>13</v>
      </c>
      <c r="D12" s="14"/>
      <c r="E12" s="14"/>
      <c r="F12" s="14"/>
      <c r="G12" s="15">
        <f>(F12*K9)+E12</f>
        <v>0</v>
      </c>
    </row>
    <row r="13" spans="1:11" x14ac:dyDescent="0.35">
      <c r="A13" s="8">
        <v>2024</v>
      </c>
      <c r="B13" s="14">
        <v>0</v>
      </c>
      <c r="C13" s="15" t="s">
        <v>13</v>
      </c>
      <c r="D13" s="14"/>
      <c r="E13" s="14"/>
      <c r="F13" s="14"/>
      <c r="G13" s="15">
        <f>(F13*K9)+E13</f>
        <v>0</v>
      </c>
    </row>
    <row r="15" spans="1:11" ht="28" customHeight="1" x14ac:dyDescent="0.35">
      <c r="A15" s="123" t="s">
        <v>77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</row>
    <row r="17" spans="1:11" ht="39" x14ac:dyDescent="0.35">
      <c r="A17" s="10" t="s">
        <v>11</v>
      </c>
      <c r="B17" s="95" t="s">
        <v>61</v>
      </c>
      <c r="C17" s="95" t="s">
        <v>60</v>
      </c>
      <c r="D17" s="95" t="s">
        <v>57</v>
      </c>
      <c r="F17" s="60"/>
      <c r="G17" s="60"/>
      <c r="H17" s="60"/>
      <c r="I17" s="61"/>
    </row>
    <row r="18" spans="1:11" x14ac:dyDescent="0.35">
      <c r="A18" s="8">
        <v>2015</v>
      </c>
      <c r="B18" s="96">
        <f>G9</f>
        <v>45000</v>
      </c>
      <c r="C18" s="96"/>
      <c r="D18" s="96"/>
      <c r="F18" s="62"/>
      <c r="G18" s="62"/>
      <c r="H18" s="62"/>
      <c r="I18" s="62"/>
    </row>
    <row r="19" spans="1:11" x14ac:dyDescent="0.35">
      <c r="A19" s="8">
        <v>2020</v>
      </c>
      <c r="B19" s="96">
        <f>G10</f>
        <v>26000</v>
      </c>
      <c r="C19" s="96"/>
      <c r="D19" s="96"/>
      <c r="F19" s="62"/>
      <c r="G19" s="62"/>
      <c r="H19" s="62"/>
      <c r="I19" s="62"/>
    </row>
    <row r="20" spans="1:11" x14ac:dyDescent="0.35">
      <c r="A20" s="8">
        <v>2022</v>
      </c>
      <c r="B20" s="96">
        <f>G11</f>
        <v>22500</v>
      </c>
      <c r="C20" s="97">
        <f>B20/20+IF((A20-A19)&lt;20,B19/20,0)+IF(A20-A18&lt;20,B18/20,0)</f>
        <v>4675</v>
      </c>
      <c r="D20" s="97">
        <f>B20*19/20+IF(A20-A19&lt;20,(20-(A20-A19-1))/20*B19,0)+IF(A20-A18&lt;20,(20-(A20-A18-1))/20*B18,0)</f>
        <v>77575</v>
      </c>
      <c r="F20" s="63"/>
      <c r="G20" s="63"/>
      <c r="H20" s="63"/>
      <c r="I20" s="62"/>
      <c r="K20" s="45"/>
    </row>
    <row r="21" spans="1:11" x14ac:dyDescent="0.35">
      <c r="A21" s="8">
        <v>2023</v>
      </c>
      <c r="B21" s="97">
        <v>0</v>
      </c>
      <c r="C21" s="97">
        <f>B21/20+IF(A21-A20&lt;20,B20/20,0)+IF(A21-A19&lt;20,B19/20,0)+IF(A21-A18,B18/20,0)</f>
        <v>4675</v>
      </c>
      <c r="D21" s="97">
        <f>IF(A21-A20&lt;20,(20-(A21-A20-1))/20*B20,0)+IF(A21-A19&lt;20,(20-(A21-A19-1))/20*B19,0)+IF(A21-A18&lt;20,(20-(A21-A18-1))/20*B18,0)</f>
        <v>75150</v>
      </c>
      <c r="F21" s="63"/>
      <c r="G21" s="63"/>
      <c r="H21" s="63"/>
      <c r="I21" s="62"/>
    </row>
    <row r="22" spans="1:11" x14ac:dyDescent="0.35">
      <c r="A22" s="8">
        <v>2024</v>
      </c>
      <c r="B22" s="97">
        <v>0</v>
      </c>
      <c r="C22" s="97">
        <f>B22/20+IF(A22-A21&lt;20,B21/20,0)+IF(A22-A20&lt;20,B20/20,0)+IF(A22-A19&lt;20,B19/20,0)+IF(A22-A18&lt;20,B18/20,0)</f>
        <v>4675</v>
      </c>
      <c r="D22" s="97">
        <f>IF(A22-A21&lt;20,(20-(A22-A21-1))/20*B21,0)+IF(A22-A20&lt;20,(20-(A22-A20-1))/20*B20,0)+IF(A22-A19&lt;20,(20-(A22-A19-1))/20*B19,0)+IF(A22-A18&lt;20,(20-(A22-A18-1))/20*B18,0)</f>
        <v>70475</v>
      </c>
      <c r="F22" s="63"/>
      <c r="G22" s="63"/>
      <c r="H22" s="63"/>
      <c r="I22" s="62"/>
    </row>
    <row r="23" spans="1:11" x14ac:dyDescent="0.35">
      <c r="A23" s="62"/>
      <c r="B23" s="63"/>
      <c r="C23" s="63"/>
      <c r="D23" s="63"/>
      <c r="E23" s="63"/>
      <c r="F23" s="63"/>
      <c r="G23" s="63"/>
      <c r="H23" s="63"/>
      <c r="I23" s="62"/>
    </row>
    <row r="24" spans="1:11" ht="15" customHeight="1" x14ac:dyDescent="0.3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s="2" customFormat="1" x14ac:dyDescent="0.35">
      <c r="A25" s="120" t="s">
        <v>0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spans="1:11" ht="52" x14ac:dyDescent="0.35">
      <c r="A26" s="18" t="s">
        <v>1</v>
      </c>
      <c r="B26" s="19" t="s">
        <v>7</v>
      </c>
      <c r="C26" s="108" t="s">
        <v>90</v>
      </c>
      <c r="D26" s="19" t="s">
        <v>93</v>
      </c>
      <c r="E26" s="19" t="s">
        <v>94</v>
      </c>
      <c r="F26" s="19" t="s">
        <v>92</v>
      </c>
      <c r="G26" s="108" t="s">
        <v>91</v>
      </c>
      <c r="H26" s="111"/>
      <c r="K26" s="6" t="s">
        <v>95</v>
      </c>
    </row>
    <row r="27" spans="1:11" ht="26" x14ac:dyDescent="0.35">
      <c r="A27" s="3" t="s">
        <v>2</v>
      </c>
      <c r="B27" s="16">
        <v>10000</v>
      </c>
      <c r="C27" s="17" t="s">
        <v>9</v>
      </c>
      <c r="D27" s="16">
        <v>1000</v>
      </c>
      <c r="E27" s="16">
        <v>100</v>
      </c>
      <c r="F27" s="16">
        <v>8000</v>
      </c>
      <c r="G27" s="17">
        <f>(F27*K27)+E27</f>
        <v>900</v>
      </c>
      <c r="K27" s="7">
        <v>0.1</v>
      </c>
    </row>
    <row r="28" spans="1:11" x14ac:dyDescent="0.35">
      <c r="A28" s="5" t="s">
        <v>3</v>
      </c>
      <c r="B28" s="16">
        <v>5000</v>
      </c>
      <c r="C28" s="17" t="s">
        <v>10</v>
      </c>
      <c r="D28" s="16">
        <v>0</v>
      </c>
      <c r="E28" s="16">
        <v>0</v>
      </c>
      <c r="F28" s="16">
        <v>1000</v>
      </c>
      <c r="G28" s="17">
        <f>(F28*K28)+E28</f>
        <v>7600</v>
      </c>
      <c r="K28" s="7">
        <v>7.6</v>
      </c>
    </row>
    <row r="29" spans="1:11" x14ac:dyDescent="0.35">
      <c r="A29" s="5" t="s">
        <v>4</v>
      </c>
      <c r="B29" s="16"/>
      <c r="C29" s="17"/>
      <c r="D29" s="16"/>
      <c r="E29" s="16"/>
      <c r="F29" s="16"/>
      <c r="G29" s="17">
        <f>(F29*K29)+E29</f>
        <v>0</v>
      </c>
      <c r="K29" s="7"/>
    </row>
    <row r="30" spans="1:11" x14ac:dyDescent="0.35">
      <c r="A30" s="5" t="s">
        <v>5</v>
      </c>
      <c r="B30" s="16">
        <v>10000</v>
      </c>
      <c r="C30" s="17" t="s">
        <v>9</v>
      </c>
      <c r="D30" s="16">
        <v>4900</v>
      </c>
      <c r="E30" s="16">
        <v>500</v>
      </c>
      <c r="F30" s="16"/>
      <c r="G30" s="17">
        <f>(F30*K30)+E30</f>
        <v>500</v>
      </c>
      <c r="K30" s="7">
        <v>0.1</v>
      </c>
    </row>
    <row r="31" spans="1:11" x14ac:dyDescent="0.35">
      <c r="A31" s="5" t="s">
        <v>6</v>
      </c>
      <c r="B31" s="16"/>
      <c r="C31" s="17" t="s">
        <v>10</v>
      </c>
      <c r="D31" s="4"/>
      <c r="E31" s="16"/>
      <c r="F31" s="16"/>
      <c r="G31" s="17">
        <f>(F31*K31)+E31</f>
        <v>0</v>
      </c>
      <c r="K31" s="7">
        <v>8</v>
      </c>
    </row>
    <row r="32" spans="1:11" x14ac:dyDescent="0.35">
      <c r="A32" s="5" t="s">
        <v>48</v>
      </c>
      <c r="B32" s="4"/>
      <c r="C32" s="4"/>
      <c r="D32" s="4"/>
      <c r="E32" s="4"/>
      <c r="F32" s="4"/>
      <c r="G32" s="46">
        <f>SUM(G27:G31)</f>
        <v>9000</v>
      </c>
    </row>
    <row r="33" spans="1:13" x14ac:dyDescent="0.35">
      <c r="J33" s="54"/>
      <c r="K33" s="45"/>
    </row>
    <row r="34" spans="1:13" s="1" customFormat="1" ht="16" customHeight="1" x14ac:dyDescent="0.35">
      <c r="A34" s="64"/>
    </row>
    <row r="35" spans="1:13" ht="60" customHeight="1" x14ac:dyDescent="0.45">
      <c r="A35" s="119" t="s">
        <v>78</v>
      </c>
      <c r="B35" s="119"/>
      <c r="C35" s="119"/>
      <c r="D35" s="119"/>
      <c r="E35" s="119"/>
      <c r="G35" s="79" t="s">
        <v>49</v>
      </c>
      <c r="H35" s="79"/>
      <c r="I35" s="80"/>
      <c r="J35" s="56"/>
      <c r="K35" s="56"/>
      <c r="L35" s="56"/>
    </row>
    <row r="36" spans="1:13" ht="18.5" x14ac:dyDescent="0.45">
      <c r="A36" s="47"/>
      <c r="B36" s="49" t="s">
        <v>54</v>
      </c>
      <c r="C36" s="50" t="s">
        <v>55</v>
      </c>
      <c r="D36" s="109"/>
      <c r="G36" s="57"/>
      <c r="H36" s="58"/>
      <c r="I36" s="58"/>
      <c r="J36" s="58"/>
      <c r="K36" s="58"/>
      <c r="L36" s="59"/>
    </row>
    <row r="37" spans="1:13" ht="43.5" x14ac:dyDescent="0.35">
      <c r="A37" s="11" t="s">
        <v>12</v>
      </c>
      <c r="B37" s="12" t="s">
        <v>53</v>
      </c>
      <c r="C37" s="12" t="s">
        <v>53</v>
      </c>
      <c r="D37" s="110"/>
      <c r="F37" s="12" t="s">
        <v>59</v>
      </c>
      <c r="G37" s="12" t="s">
        <v>56</v>
      </c>
      <c r="H37" s="12" t="s">
        <v>57</v>
      </c>
      <c r="I37" s="12" t="s">
        <v>58</v>
      </c>
    </row>
    <row r="38" spans="1:13" x14ac:dyDescent="0.35">
      <c r="A38" s="13">
        <v>2022</v>
      </c>
      <c r="B38" s="82">
        <f>D20</f>
        <v>77575</v>
      </c>
      <c r="C38" s="82">
        <f>H38</f>
        <v>32533.333333333332</v>
      </c>
      <c r="D38" s="103"/>
      <c r="F38" s="81">
        <f>IF('Année 1'!B56&gt;(0.3*('Année 1'!B78-'Année 1'!B56)),'Année 1'!B56,0)</f>
        <v>44300</v>
      </c>
      <c r="G38" s="82">
        <f>F38/3+'Carbones à répercuter'!G32/3+0/3</f>
        <v>17766.666666666664</v>
      </c>
      <c r="H38" s="82">
        <f>(2/3*F38)+(1/3*'Carbones à répercuter'!G32)</f>
        <v>32533.333333333332</v>
      </c>
      <c r="I38" s="82">
        <f>G38-F38</f>
        <v>-26533.333333333336</v>
      </c>
      <c r="M38" s="45"/>
    </row>
    <row r="39" spans="1:13" x14ac:dyDescent="0.35">
      <c r="A39" s="13">
        <v>2023</v>
      </c>
      <c r="B39" s="82">
        <f>D21</f>
        <v>75150</v>
      </c>
      <c r="C39" s="82">
        <f>H39</f>
        <v>14766.666666666666</v>
      </c>
      <c r="D39" s="103"/>
      <c r="F39" s="81">
        <f>IF('Année 2'!B62&gt;(0.3*('Année 2'!B84-'Année 2'!B62)),'Année 2'!B62,0)</f>
        <v>0</v>
      </c>
      <c r="G39" s="82">
        <f>F39/3+F38/3+'Carbones à répercuter'!G32/3</f>
        <v>17766.666666666664</v>
      </c>
      <c r="H39" s="82">
        <f>2/3*F39+1/3*F38</f>
        <v>14766.666666666666</v>
      </c>
      <c r="I39" s="82">
        <f>G39-F39</f>
        <v>17766.666666666664</v>
      </c>
      <c r="M39" s="45"/>
    </row>
    <row r="40" spans="1:13" x14ac:dyDescent="0.35">
      <c r="A40" s="13">
        <v>2024</v>
      </c>
      <c r="B40" s="82">
        <f>D22</f>
        <v>70475</v>
      </c>
      <c r="C40" s="82">
        <f>H40</f>
        <v>2540</v>
      </c>
      <c r="D40" s="103"/>
      <c r="F40" s="81">
        <f>IF('Année 3'!B62&gt;(0.3*('Année 3'!B84-'Année 3'!B62)),'Année 3'!B62,0)</f>
        <v>3810</v>
      </c>
      <c r="G40" s="82">
        <f>F40/3+F39/3+F38/3</f>
        <v>16036.666666666666</v>
      </c>
      <c r="H40" s="82">
        <f>(2/3*F40)+(1/3*F39)</f>
        <v>2540</v>
      </c>
      <c r="I40" s="82">
        <f>G40-F40</f>
        <v>12226.666666666666</v>
      </c>
      <c r="M40" s="45"/>
    </row>
    <row r="41" spans="1:13" x14ac:dyDescent="0.35">
      <c r="F41" s="56"/>
      <c r="G41" s="90"/>
      <c r="H41" s="90"/>
      <c r="I41" s="90"/>
    </row>
    <row r="44" spans="1:13" x14ac:dyDescent="0.35">
      <c r="F44" s="56"/>
      <c r="I44" s="45"/>
    </row>
    <row r="45" spans="1:13" x14ac:dyDescent="0.35">
      <c r="I45" s="45"/>
    </row>
  </sheetData>
  <mergeCells count="6">
    <mergeCell ref="A35:E35"/>
    <mergeCell ref="A25:K25"/>
    <mergeCell ref="B7:G7"/>
    <mergeCell ref="A5:K5"/>
    <mergeCell ref="A15:K15"/>
    <mergeCell ref="A6:K6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5CF6-B907-4BE3-9DC7-D1464833C78A}">
  <dimension ref="A1:J98"/>
  <sheetViews>
    <sheetView tabSelected="1" zoomScale="87" zoomScaleNormal="87" workbookViewId="0"/>
  </sheetViews>
  <sheetFormatPr baseColWidth="10" defaultRowHeight="14.5" x14ac:dyDescent="0.35"/>
  <cols>
    <col min="1" max="1" width="37.36328125" customWidth="1"/>
    <col min="4" max="4" width="10.90625" style="20"/>
    <col min="9" max="9" width="10.90625" style="32"/>
  </cols>
  <sheetData>
    <row r="1" spans="1:10" ht="21" x14ac:dyDescent="0.5">
      <c r="A1" s="21" t="s">
        <v>14</v>
      </c>
      <c r="B1" s="51">
        <f>'[1]Carbones à répercuter'!D3</f>
        <v>2022</v>
      </c>
    </row>
    <row r="2" spans="1:10" ht="15" customHeight="1" x14ac:dyDescent="0.35">
      <c r="A2" s="64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x14ac:dyDescent="0.35">
      <c r="A3" s="66" t="s">
        <v>82</v>
      </c>
      <c r="B3" s="1"/>
      <c r="C3" s="1"/>
      <c r="D3" s="1"/>
      <c r="E3" s="1"/>
      <c r="F3" s="1"/>
      <c r="G3" s="1"/>
      <c r="H3" s="1"/>
      <c r="I3" s="1"/>
      <c r="J3" s="1"/>
    </row>
    <row r="4" spans="1:10" ht="65" x14ac:dyDescent="0.35">
      <c r="A4" s="22" t="s">
        <v>15</v>
      </c>
      <c r="B4" s="19" t="s">
        <v>7</v>
      </c>
      <c r="C4" s="108" t="s">
        <v>90</v>
      </c>
      <c r="D4" s="19" t="s">
        <v>93</v>
      </c>
      <c r="E4" s="19" t="s">
        <v>94</v>
      </c>
      <c r="F4" s="19" t="s">
        <v>92</v>
      </c>
      <c r="G4" s="108" t="s">
        <v>91</v>
      </c>
      <c r="I4"/>
      <c r="J4" s="6" t="s">
        <v>95</v>
      </c>
    </row>
    <row r="5" spans="1:10" ht="26.5" x14ac:dyDescent="0.35">
      <c r="A5" s="23" t="s">
        <v>84</v>
      </c>
      <c r="B5" s="16"/>
      <c r="C5" s="33"/>
      <c r="D5" s="113"/>
      <c r="E5" s="113"/>
      <c r="F5" s="28"/>
      <c r="G5" s="24"/>
      <c r="I5"/>
      <c r="J5" s="7"/>
    </row>
    <row r="6" spans="1:10" ht="26.5" x14ac:dyDescent="0.35">
      <c r="A6" s="23" t="s">
        <v>47</v>
      </c>
      <c r="B6" s="16"/>
      <c r="C6" s="33"/>
      <c r="D6" s="113"/>
      <c r="E6" s="113"/>
      <c r="F6" s="28"/>
      <c r="G6" s="24"/>
      <c r="I6"/>
      <c r="J6" s="7"/>
    </row>
    <row r="7" spans="1:10" x14ac:dyDescent="0.35">
      <c r="A7" s="25" t="s">
        <v>16</v>
      </c>
      <c r="B7" s="16"/>
      <c r="C7" s="17"/>
      <c r="D7" s="16"/>
      <c r="E7" s="17"/>
      <c r="F7" s="27"/>
      <c r="G7" s="4"/>
      <c r="I7"/>
      <c r="J7" s="7"/>
    </row>
    <row r="8" spans="1:10" x14ac:dyDescent="0.35">
      <c r="A8" s="26" t="s">
        <v>17</v>
      </c>
      <c r="B8" s="16"/>
      <c r="C8" s="17" t="s">
        <v>9</v>
      </c>
      <c r="D8" s="16"/>
      <c r="E8" s="17"/>
      <c r="F8" s="16">
        <v>5000</v>
      </c>
      <c r="G8" s="17">
        <f>(F8*J8)+E8</f>
        <v>500</v>
      </c>
      <c r="I8"/>
      <c r="J8" s="7">
        <v>0.1</v>
      </c>
    </row>
    <row r="9" spans="1:10" x14ac:dyDescent="0.35">
      <c r="A9" s="26" t="s">
        <v>18</v>
      </c>
      <c r="B9" s="16"/>
      <c r="C9" s="17" t="s">
        <v>10</v>
      </c>
      <c r="D9" s="16"/>
      <c r="E9" s="17"/>
      <c r="F9" s="16">
        <v>500</v>
      </c>
      <c r="G9" s="17">
        <f>(F9*J9)+E9</f>
        <v>3800</v>
      </c>
      <c r="I9"/>
      <c r="J9" s="7">
        <v>7.6</v>
      </c>
    </row>
    <row r="10" spans="1:10" x14ac:dyDescent="0.35">
      <c r="A10" s="26" t="s">
        <v>19</v>
      </c>
      <c r="B10" s="16"/>
      <c r="C10" s="17"/>
      <c r="D10" s="16"/>
      <c r="E10" s="17"/>
      <c r="F10" s="16"/>
      <c r="G10" s="17">
        <f t="shared" ref="G10:G29" si="0">(F10*J10)+E10</f>
        <v>0</v>
      </c>
      <c r="I10"/>
      <c r="J10" s="7"/>
    </row>
    <row r="11" spans="1:10" x14ac:dyDescent="0.35">
      <c r="A11" s="26" t="s">
        <v>5</v>
      </c>
      <c r="B11" s="16"/>
      <c r="C11" s="17" t="s">
        <v>9</v>
      </c>
      <c r="D11" s="16"/>
      <c r="E11" s="17"/>
      <c r="F11" s="16">
        <v>0</v>
      </c>
      <c r="G11" s="17">
        <f t="shared" si="0"/>
        <v>0</v>
      </c>
      <c r="I11"/>
      <c r="J11" s="7">
        <v>0.1</v>
      </c>
    </row>
    <row r="12" spans="1:10" x14ac:dyDescent="0.35">
      <c r="A12" s="26" t="s">
        <v>20</v>
      </c>
      <c r="B12" s="16"/>
      <c r="C12" s="17" t="s">
        <v>10</v>
      </c>
      <c r="D12" s="16"/>
      <c r="E12" s="17"/>
      <c r="F12" s="16">
        <v>5000</v>
      </c>
      <c r="G12" s="17">
        <f t="shared" si="0"/>
        <v>40000</v>
      </c>
      <c r="I12"/>
      <c r="J12" s="7">
        <v>8</v>
      </c>
    </row>
    <row r="13" spans="1:10" x14ac:dyDescent="0.35">
      <c r="A13" s="29" t="s">
        <v>21</v>
      </c>
      <c r="B13" s="16"/>
      <c r="C13" s="17"/>
      <c r="D13" s="16"/>
      <c r="E13" s="17"/>
      <c r="F13" s="16"/>
      <c r="G13" s="17"/>
      <c r="I13"/>
      <c r="J13" s="7"/>
    </row>
    <row r="14" spans="1:10" x14ac:dyDescent="0.35">
      <c r="A14" s="5" t="s">
        <v>22</v>
      </c>
      <c r="B14" s="16"/>
      <c r="C14" s="17" t="s">
        <v>13</v>
      </c>
      <c r="D14" s="16"/>
      <c r="E14" s="17"/>
      <c r="F14" s="16">
        <v>0</v>
      </c>
      <c r="G14" s="17">
        <f t="shared" si="0"/>
        <v>0</v>
      </c>
      <c r="I14"/>
      <c r="J14" s="7">
        <v>9</v>
      </c>
    </row>
    <row r="15" spans="1:10" x14ac:dyDescent="0.35">
      <c r="A15" s="5" t="s">
        <v>23</v>
      </c>
      <c r="B15" s="16"/>
      <c r="C15" s="17" t="s">
        <v>13</v>
      </c>
      <c r="D15" s="16"/>
      <c r="E15" s="17"/>
      <c r="F15" s="16">
        <v>100</v>
      </c>
      <c r="G15" s="17">
        <f t="shared" si="0"/>
        <v>700</v>
      </c>
      <c r="I15"/>
      <c r="J15" s="7">
        <v>7</v>
      </c>
    </row>
    <row r="16" spans="1:10" x14ac:dyDescent="0.35">
      <c r="A16" s="30" t="s">
        <v>24</v>
      </c>
      <c r="B16" s="16"/>
      <c r="C16" s="17"/>
      <c r="D16" s="16"/>
      <c r="E16" s="17"/>
      <c r="F16" s="16"/>
      <c r="G16" s="17"/>
      <c r="I16"/>
      <c r="J16" s="7"/>
    </row>
    <row r="17" spans="1:10" x14ac:dyDescent="0.35">
      <c r="A17" s="5" t="s">
        <v>70</v>
      </c>
      <c r="B17" s="16"/>
      <c r="C17" s="17" t="s">
        <v>38</v>
      </c>
      <c r="D17" s="16"/>
      <c r="E17" s="17"/>
      <c r="F17" s="16"/>
      <c r="G17" s="17">
        <f t="shared" si="0"/>
        <v>0</v>
      </c>
      <c r="I17"/>
      <c r="J17" s="34">
        <v>7.0000000000000007E-2</v>
      </c>
    </row>
    <row r="18" spans="1:10" x14ac:dyDescent="0.35">
      <c r="A18" s="5" t="s">
        <v>71</v>
      </c>
      <c r="B18" s="16"/>
      <c r="C18" s="17" t="s">
        <v>38</v>
      </c>
      <c r="D18" s="16"/>
      <c r="E18" s="17"/>
      <c r="F18" s="16"/>
      <c r="G18" s="17">
        <f t="shared" si="0"/>
        <v>0</v>
      </c>
      <c r="I18"/>
      <c r="J18" s="34">
        <v>7.0000000000000007E-2</v>
      </c>
    </row>
    <row r="19" spans="1:10" x14ac:dyDescent="0.35">
      <c r="A19" s="5" t="s">
        <v>8</v>
      </c>
      <c r="B19" s="16"/>
      <c r="C19" s="17" t="s">
        <v>39</v>
      </c>
      <c r="D19" s="16"/>
      <c r="E19" s="17"/>
      <c r="F19" s="16"/>
      <c r="G19" s="17">
        <f t="shared" si="0"/>
        <v>0</v>
      </c>
      <c r="I19"/>
      <c r="J19" s="34">
        <v>2.5</v>
      </c>
    </row>
    <row r="20" spans="1:10" x14ac:dyDescent="0.35">
      <c r="A20" s="5" t="s">
        <v>25</v>
      </c>
      <c r="B20" s="16"/>
      <c r="C20" s="17" t="s">
        <v>40</v>
      </c>
      <c r="D20" s="16"/>
      <c r="E20" s="17"/>
      <c r="F20" s="16">
        <v>15</v>
      </c>
      <c r="G20" s="17">
        <f t="shared" si="0"/>
        <v>37.5</v>
      </c>
      <c r="I20"/>
      <c r="J20" s="34">
        <v>2.5</v>
      </c>
    </row>
    <row r="21" spans="1:10" x14ac:dyDescent="0.35">
      <c r="A21" s="5" t="s">
        <v>26</v>
      </c>
      <c r="B21" s="16"/>
      <c r="C21" s="17" t="s">
        <v>10</v>
      </c>
      <c r="D21" s="16"/>
      <c r="E21" s="17"/>
      <c r="F21" s="16">
        <v>4</v>
      </c>
      <c r="G21" s="17">
        <f t="shared" si="0"/>
        <v>9.4</v>
      </c>
      <c r="I21"/>
      <c r="J21" s="34">
        <v>2.35</v>
      </c>
    </row>
    <row r="22" spans="1:10" x14ac:dyDescent="0.35">
      <c r="A22" s="29" t="s">
        <v>27</v>
      </c>
      <c r="B22" s="16"/>
      <c r="C22" s="17"/>
      <c r="D22" s="16"/>
      <c r="E22" s="17"/>
      <c r="F22" s="16"/>
      <c r="G22" s="17"/>
      <c r="I22"/>
      <c r="J22" s="7"/>
    </row>
    <row r="23" spans="1:10" x14ac:dyDescent="0.35">
      <c r="A23" s="30" t="s">
        <v>28</v>
      </c>
      <c r="B23" s="16"/>
      <c r="C23" s="17"/>
      <c r="D23" s="16"/>
      <c r="E23" s="17"/>
      <c r="F23" s="16"/>
      <c r="G23" s="17"/>
      <c r="I23"/>
      <c r="J23" s="7"/>
    </row>
    <row r="24" spans="1:10" x14ac:dyDescent="0.35">
      <c r="A24" s="5" t="s">
        <v>29</v>
      </c>
      <c r="B24" s="16"/>
      <c r="C24" s="17" t="s">
        <v>41</v>
      </c>
      <c r="D24" s="16"/>
      <c r="E24" s="17"/>
      <c r="F24" s="16">
        <v>1000</v>
      </c>
      <c r="G24" s="17">
        <f t="shared" si="0"/>
        <v>200</v>
      </c>
      <c r="I24"/>
      <c r="J24" s="7">
        <v>0.2</v>
      </c>
    </row>
    <row r="25" spans="1:10" x14ac:dyDescent="0.35">
      <c r="A25" s="5" t="s">
        <v>30</v>
      </c>
      <c r="B25" s="16"/>
      <c r="C25" s="17" t="s">
        <v>41</v>
      </c>
      <c r="D25" s="16"/>
      <c r="E25" s="17"/>
      <c r="F25" s="16">
        <v>50</v>
      </c>
      <c r="G25" s="17">
        <f t="shared" si="0"/>
        <v>15</v>
      </c>
      <c r="I25"/>
      <c r="J25" s="7">
        <v>0.3</v>
      </c>
    </row>
    <row r="26" spans="1:10" x14ac:dyDescent="0.35">
      <c r="A26" s="5" t="s">
        <v>31</v>
      </c>
      <c r="B26" s="16"/>
      <c r="C26" s="17" t="s">
        <v>41</v>
      </c>
      <c r="D26" s="16"/>
      <c r="E26" s="17"/>
      <c r="F26" s="16">
        <v>1000</v>
      </c>
      <c r="G26" s="17">
        <f t="shared" si="0"/>
        <v>60</v>
      </c>
      <c r="I26"/>
      <c r="J26" s="7">
        <v>0.06</v>
      </c>
    </row>
    <row r="27" spans="1:10" x14ac:dyDescent="0.35">
      <c r="A27" s="31" t="s">
        <v>32</v>
      </c>
      <c r="B27" s="16"/>
      <c r="C27" s="17" t="s">
        <v>41</v>
      </c>
      <c r="D27" s="16"/>
      <c r="E27" s="17"/>
      <c r="F27" s="16">
        <v>0</v>
      </c>
      <c r="G27" s="17">
        <f t="shared" si="0"/>
        <v>0</v>
      </c>
      <c r="I27"/>
      <c r="J27" s="7">
        <v>0.14000000000000001</v>
      </c>
    </row>
    <row r="28" spans="1:10" x14ac:dyDescent="0.35">
      <c r="A28" s="30" t="s">
        <v>33</v>
      </c>
      <c r="B28" s="16"/>
      <c r="C28" s="17"/>
      <c r="D28" s="16"/>
      <c r="E28" s="17"/>
      <c r="F28" s="16"/>
      <c r="G28" s="17"/>
      <c r="I28"/>
      <c r="J28" s="7"/>
    </row>
    <row r="29" spans="1:10" x14ac:dyDescent="0.35">
      <c r="A29" s="5" t="s">
        <v>34</v>
      </c>
      <c r="B29" s="16"/>
      <c r="C29" s="17" t="s">
        <v>42</v>
      </c>
      <c r="D29" s="16"/>
      <c r="E29" s="17"/>
      <c r="F29" s="16"/>
      <c r="G29" s="17">
        <f t="shared" si="0"/>
        <v>0</v>
      </c>
      <c r="I29"/>
      <c r="J29" s="7">
        <v>300</v>
      </c>
    </row>
    <row r="30" spans="1:10" x14ac:dyDescent="0.35">
      <c r="A30" s="5" t="s">
        <v>35</v>
      </c>
      <c r="B30" s="16">
        <v>2000</v>
      </c>
      <c r="C30" s="17" t="s">
        <v>42</v>
      </c>
      <c r="D30" s="112">
        <v>1</v>
      </c>
      <c r="E30" s="16">
        <v>155</v>
      </c>
      <c r="F30" s="16">
        <v>1</v>
      </c>
      <c r="G30" s="17">
        <f>(F30*J30)+E30</f>
        <v>305</v>
      </c>
      <c r="I30"/>
      <c r="J30" s="7">
        <v>150</v>
      </c>
    </row>
    <row r="31" spans="1:10" x14ac:dyDescent="0.35">
      <c r="A31" s="29" t="s">
        <v>36</v>
      </c>
      <c r="B31" s="27"/>
      <c r="C31" s="27"/>
      <c r="D31" s="17"/>
      <c r="E31" s="27"/>
      <c r="F31" s="4"/>
      <c r="G31" s="17"/>
      <c r="J31" s="4"/>
    </row>
    <row r="32" spans="1:10" ht="26.5" x14ac:dyDescent="0.35">
      <c r="A32" s="115" t="s">
        <v>99</v>
      </c>
      <c r="B32" s="27"/>
      <c r="C32" s="27"/>
      <c r="D32" s="17"/>
      <c r="E32" s="27"/>
      <c r="F32" s="116"/>
      <c r="G32" s="17">
        <f>(F32*J32)+E32</f>
        <v>0</v>
      </c>
      <c r="H32" s="125" t="s">
        <v>100</v>
      </c>
      <c r="I32" s="126"/>
      <c r="J32" s="4"/>
    </row>
    <row r="33" spans="1:10" ht="26.5" x14ac:dyDescent="0.35">
      <c r="A33" s="35" t="s">
        <v>37</v>
      </c>
      <c r="B33" s="16">
        <v>1000</v>
      </c>
      <c r="C33" s="17" t="s">
        <v>9</v>
      </c>
      <c r="D33" s="16"/>
      <c r="E33" s="17"/>
      <c r="F33" s="16">
        <v>1000</v>
      </c>
      <c r="G33" s="17">
        <f>(F33*J33)+E33</f>
        <v>500</v>
      </c>
      <c r="I33"/>
      <c r="J33" s="7">
        <v>0.5</v>
      </c>
    </row>
    <row r="34" spans="1:10" x14ac:dyDescent="0.35">
      <c r="A34" s="35" t="s">
        <v>64</v>
      </c>
      <c r="B34" s="27"/>
      <c r="C34" s="17"/>
      <c r="D34" s="27"/>
      <c r="E34" s="4"/>
      <c r="F34" s="27"/>
      <c r="G34" s="4"/>
      <c r="I34"/>
      <c r="J34" s="32"/>
    </row>
    <row r="35" spans="1:10" x14ac:dyDescent="0.35">
      <c r="A35" s="35" t="s">
        <v>65</v>
      </c>
      <c r="B35" s="4"/>
      <c r="C35" s="17"/>
      <c r="D35" s="27"/>
      <c r="E35" s="4"/>
      <c r="F35" s="4"/>
      <c r="G35" s="4"/>
      <c r="I35"/>
      <c r="J35" s="32"/>
    </row>
    <row r="36" spans="1:10" ht="15" customHeight="1" x14ac:dyDescent="0.35">
      <c r="A36" s="64"/>
      <c r="B36" s="1"/>
      <c r="C36" s="1"/>
      <c r="D36" s="1"/>
      <c r="E36" s="1"/>
      <c r="F36" s="1"/>
      <c r="G36" s="1"/>
      <c r="H36" s="1"/>
      <c r="I36" s="1"/>
      <c r="J36" s="1"/>
    </row>
    <row r="37" spans="1:10" ht="15" customHeight="1" thickBot="1" x14ac:dyDescent="0.4">
      <c r="A37" s="66" t="s">
        <v>62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15" thickBot="1" x14ac:dyDescent="0.4">
      <c r="A38" s="36" t="s">
        <v>43</v>
      </c>
      <c r="B38" s="52">
        <v>500</v>
      </c>
    </row>
    <row r="39" spans="1:10" ht="15" thickBot="1" x14ac:dyDescent="0.4">
      <c r="A39" s="36" t="s">
        <v>44</v>
      </c>
      <c r="B39" s="37"/>
    </row>
    <row r="40" spans="1:10" ht="15" thickBot="1" x14ac:dyDescent="0.4">
      <c r="A40" s="38" t="s">
        <v>45</v>
      </c>
      <c r="B40" s="37"/>
    </row>
    <row r="41" spans="1:10" ht="26.4" customHeight="1" thickBot="1" x14ac:dyDescent="0.4">
      <c r="A41" s="83" t="s">
        <v>80</v>
      </c>
      <c r="B41" s="37"/>
    </row>
    <row r="42" spans="1:10" ht="36" customHeight="1" x14ac:dyDescent="0.35">
      <c r="A42" s="127" t="s">
        <v>86</v>
      </c>
      <c r="B42" s="127"/>
      <c r="C42" s="127"/>
      <c r="D42" s="127"/>
      <c r="E42" s="127"/>
    </row>
    <row r="43" spans="1:10" ht="36" customHeight="1" x14ac:dyDescent="0.35">
      <c r="A43" s="73" t="s">
        <v>101</v>
      </c>
      <c r="B43" s="86">
        <f>B83</f>
        <v>24268.566666666658</v>
      </c>
      <c r="C43" s="76"/>
      <c r="D43" s="76"/>
      <c r="E43" s="76"/>
    </row>
    <row r="44" spans="1:10" ht="36" customHeight="1" x14ac:dyDescent="0.35">
      <c r="A44" s="73" t="s">
        <v>87</v>
      </c>
      <c r="B44" s="87">
        <f>B38</f>
        <v>500</v>
      </c>
      <c r="C44" s="76"/>
      <c r="D44" s="76"/>
      <c r="E44" s="76"/>
    </row>
    <row r="45" spans="1:10" ht="36" customHeight="1" x14ac:dyDescent="0.35">
      <c r="A45" s="73" t="s">
        <v>102</v>
      </c>
      <c r="B45" s="86">
        <f>B83/B38</f>
        <v>48.537133333333315</v>
      </c>
    </row>
    <row r="46" spans="1:10" x14ac:dyDescent="0.35">
      <c r="A46" s="73" t="s">
        <v>103</v>
      </c>
      <c r="B46" s="91"/>
    </row>
    <row r="48" spans="1:10" ht="18.5" x14ac:dyDescent="0.35">
      <c r="A48" s="98" t="s">
        <v>97</v>
      </c>
      <c r="B48" s="98"/>
      <c r="C48" s="99"/>
      <c r="D48" s="98"/>
      <c r="E48" s="98"/>
    </row>
    <row r="49" spans="1:5" x14ac:dyDescent="0.35">
      <c r="A49" s="40" t="s">
        <v>46</v>
      </c>
      <c r="B49" s="87">
        <f>'Carbones à répercuter'!C20</f>
        <v>4675</v>
      </c>
    </row>
    <row r="50" spans="1:5" x14ac:dyDescent="0.35">
      <c r="A50" s="40" t="s">
        <v>51</v>
      </c>
      <c r="B50" s="88"/>
    </row>
    <row r="51" spans="1:5" x14ac:dyDescent="0.35">
      <c r="A51" s="41" t="s">
        <v>17</v>
      </c>
      <c r="B51" s="88">
        <f>G8</f>
        <v>500</v>
      </c>
    </row>
    <row r="52" spans="1:5" x14ac:dyDescent="0.35">
      <c r="A52" s="41" t="s">
        <v>18</v>
      </c>
      <c r="B52" s="88">
        <f>G9</f>
        <v>3800</v>
      </c>
    </row>
    <row r="53" spans="1:5" x14ac:dyDescent="0.35">
      <c r="A53" s="41" t="s">
        <v>19</v>
      </c>
      <c r="B53" s="88">
        <f>G10</f>
        <v>0</v>
      </c>
    </row>
    <row r="54" spans="1:5" x14ac:dyDescent="0.35">
      <c r="A54" s="41" t="s">
        <v>5</v>
      </c>
      <c r="B54" s="88">
        <f>G11</f>
        <v>0</v>
      </c>
    </row>
    <row r="55" spans="1:5" x14ac:dyDescent="0.35">
      <c r="A55" s="41" t="s">
        <v>20</v>
      </c>
      <c r="B55" s="88">
        <f>G12</f>
        <v>40000</v>
      </c>
    </row>
    <row r="56" spans="1:5" x14ac:dyDescent="0.35">
      <c r="A56" s="41" t="s">
        <v>52</v>
      </c>
      <c r="B56" s="88">
        <f>SUM(B51:B55)</f>
        <v>44300</v>
      </c>
      <c r="D56" s="48"/>
    </row>
    <row r="57" spans="1:5" x14ac:dyDescent="0.35">
      <c r="A57" s="42" t="s">
        <v>21</v>
      </c>
      <c r="B57" s="88"/>
    </row>
    <row r="58" spans="1:5" x14ac:dyDescent="0.35">
      <c r="A58" s="41" t="s">
        <v>22</v>
      </c>
      <c r="B58" s="88">
        <f>G14</f>
        <v>0</v>
      </c>
      <c r="E58" s="45"/>
    </row>
    <row r="59" spans="1:5" x14ac:dyDescent="0.35">
      <c r="A59" s="41" t="s">
        <v>23</v>
      </c>
      <c r="B59" s="88">
        <f>G15</f>
        <v>700</v>
      </c>
    </row>
    <row r="60" spans="1:5" x14ac:dyDescent="0.35">
      <c r="A60" s="40" t="s">
        <v>24</v>
      </c>
    </row>
    <row r="61" spans="1:5" x14ac:dyDescent="0.35">
      <c r="A61" s="41" t="s">
        <v>70</v>
      </c>
      <c r="B61" s="88">
        <f>G17</f>
        <v>0</v>
      </c>
    </row>
    <row r="62" spans="1:5" x14ac:dyDescent="0.35">
      <c r="A62" s="41" t="s">
        <v>71</v>
      </c>
      <c r="B62" s="88">
        <f>G18</f>
        <v>0</v>
      </c>
    </row>
    <row r="63" spans="1:5" x14ac:dyDescent="0.35">
      <c r="A63" s="41" t="s">
        <v>8</v>
      </c>
      <c r="B63" s="88">
        <f>G19</f>
        <v>0</v>
      </c>
    </row>
    <row r="64" spans="1:5" x14ac:dyDescent="0.35">
      <c r="A64" s="41" t="s">
        <v>25</v>
      </c>
      <c r="B64" s="88">
        <f>G20</f>
        <v>37.5</v>
      </c>
    </row>
    <row r="65" spans="1:4" x14ac:dyDescent="0.35">
      <c r="A65" s="41" t="s">
        <v>26</v>
      </c>
      <c r="B65" s="88">
        <f>G21</f>
        <v>9.4</v>
      </c>
    </row>
    <row r="66" spans="1:4" x14ac:dyDescent="0.35">
      <c r="A66" s="42" t="s">
        <v>27</v>
      </c>
      <c r="B66" s="88"/>
    </row>
    <row r="67" spans="1:4" x14ac:dyDescent="0.35">
      <c r="A67" s="40" t="s">
        <v>28</v>
      </c>
      <c r="B67" s="88"/>
    </row>
    <row r="68" spans="1:4" x14ac:dyDescent="0.35">
      <c r="A68" s="41" t="s">
        <v>29</v>
      </c>
      <c r="B68" s="88">
        <f>G24</f>
        <v>200</v>
      </c>
    </row>
    <row r="69" spans="1:4" x14ac:dyDescent="0.35">
      <c r="A69" s="41" t="s">
        <v>30</v>
      </c>
      <c r="B69" s="88">
        <f>G25</f>
        <v>15</v>
      </c>
    </row>
    <row r="70" spans="1:4" x14ac:dyDescent="0.35">
      <c r="A70" s="41" t="s">
        <v>31</v>
      </c>
      <c r="B70" s="88">
        <f>G26</f>
        <v>60</v>
      </c>
    </row>
    <row r="71" spans="1:4" x14ac:dyDescent="0.35">
      <c r="A71" s="43" t="s">
        <v>32</v>
      </c>
      <c r="B71" s="88">
        <f>G27</f>
        <v>0</v>
      </c>
    </row>
    <row r="72" spans="1:4" x14ac:dyDescent="0.35">
      <c r="A72" s="40" t="s">
        <v>33</v>
      </c>
      <c r="B72" s="88"/>
    </row>
    <row r="73" spans="1:4" x14ac:dyDescent="0.35">
      <c r="A73" s="41" t="s">
        <v>34</v>
      </c>
      <c r="B73" s="88">
        <f>G29</f>
        <v>0</v>
      </c>
    </row>
    <row r="74" spans="1:4" x14ac:dyDescent="0.35">
      <c r="A74" s="41" t="s">
        <v>35</v>
      </c>
      <c r="B74" s="88">
        <f>G30</f>
        <v>305</v>
      </c>
    </row>
    <row r="75" spans="1:4" x14ac:dyDescent="0.35">
      <c r="A75" s="42" t="s">
        <v>36</v>
      </c>
      <c r="B75" s="88"/>
    </row>
    <row r="76" spans="1:4" ht="26.5" x14ac:dyDescent="0.35">
      <c r="A76" s="99" t="s">
        <v>99</v>
      </c>
      <c r="B76" s="88">
        <f>G32</f>
        <v>0</v>
      </c>
    </row>
    <row r="77" spans="1:4" ht="26.5" x14ac:dyDescent="0.35">
      <c r="A77" s="44" t="s">
        <v>37</v>
      </c>
      <c r="B77" s="88">
        <f>G33</f>
        <v>500</v>
      </c>
    </row>
    <row r="78" spans="1:4" x14ac:dyDescent="0.35">
      <c r="A78" s="73" t="s">
        <v>50</v>
      </c>
      <c r="B78" s="87">
        <f>SUM(B49:B77)-B56</f>
        <v>50801.899999999994</v>
      </c>
      <c r="C78" s="45"/>
      <c r="D78" s="48"/>
    </row>
    <row r="79" spans="1:4" x14ac:dyDescent="0.35">
      <c r="A79" s="73" t="s">
        <v>63</v>
      </c>
      <c r="B79" s="87">
        <f>'Carbones à répercuter'!I38</f>
        <v>-26533.333333333336</v>
      </c>
    </row>
    <row r="80" spans="1:4" x14ac:dyDescent="0.35">
      <c r="A80" s="73" t="s">
        <v>72</v>
      </c>
      <c r="B80" s="87">
        <f>B78+B79</f>
        <v>24268.566666666658</v>
      </c>
    </row>
    <row r="81" spans="1:2" x14ac:dyDescent="0.35">
      <c r="A81" s="44" t="s">
        <v>64</v>
      </c>
      <c r="B81" s="88"/>
    </row>
    <row r="82" spans="1:2" x14ac:dyDescent="0.35">
      <c r="A82" s="44" t="s">
        <v>65</v>
      </c>
      <c r="B82" s="88"/>
    </row>
    <row r="83" spans="1:2" ht="29" x14ac:dyDescent="0.35">
      <c r="A83" s="73" t="s">
        <v>81</v>
      </c>
      <c r="B83" s="87">
        <f>B80+B81-B82</f>
        <v>24268.566666666658</v>
      </c>
    </row>
    <row r="84" spans="1:2" x14ac:dyDescent="0.35">
      <c r="A84" s="73" t="s">
        <v>87</v>
      </c>
      <c r="B84" s="88">
        <f>B38</f>
        <v>500</v>
      </c>
    </row>
    <row r="85" spans="1:2" x14ac:dyDescent="0.35">
      <c r="A85" s="39" t="s">
        <v>104</v>
      </c>
      <c r="B85" s="86">
        <f>B45</f>
        <v>48.537133333333315</v>
      </c>
    </row>
    <row r="86" spans="1:2" x14ac:dyDescent="0.35">
      <c r="A86" s="74"/>
      <c r="B86" s="88"/>
    </row>
    <row r="87" spans="1:2" x14ac:dyDescent="0.35">
      <c r="B87" s="88"/>
    </row>
    <row r="88" spans="1:2" ht="18.5" x14ac:dyDescent="0.45">
      <c r="A88" s="79" t="s">
        <v>69</v>
      </c>
      <c r="B88" s="88"/>
    </row>
    <row r="89" spans="1:2" ht="29" x14ac:dyDescent="0.35">
      <c r="A89" s="73" t="s">
        <v>66</v>
      </c>
      <c r="B89" s="88"/>
    </row>
    <row r="90" spans="1:2" x14ac:dyDescent="0.35">
      <c r="A90" s="75" t="s">
        <v>67</v>
      </c>
      <c r="B90" s="87"/>
    </row>
    <row r="91" spans="1:2" x14ac:dyDescent="0.35">
      <c r="A91" s="75" t="s">
        <v>68</v>
      </c>
      <c r="B91" s="87"/>
    </row>
    <row r="92" spans="1:2" x14ac:dyDescent="0.35">
      <c r="B92" s="88"/>
    </row>
    <row r="93" spans="1:2" ht="18.5" x14ac:dyDescent="0.45">
      <c r="A93" s="79" t="s">
        <v>110</v>
      </c>
      <c r="B93" s="88"/>
    </row>
    <row r="94" spans="1:2" x14ac:dyDescent="0.35">
      <c r="A94" s="80"/>
      <c r="B94" s="88"/>
    </row>
    <row r="95" spans="1:2" x14ac:dyDescent="0.35">
      <c r="A95" s="39" t="s">
        <v>105</v>
      </c>
      <c r="B95" s="89"/>
    </row>
    <row r="96" spans="1:2" x14ac:dyDescent="0.35">
      <c r="A96" s="39" t="s">
        <v>108</v>
      </c>
      <c r="B96" s="89"/>
    </row>
    <row r="97" spans="1:2" x14ac:dyDescent="0.35">
      <c r="A97" s="39" t="s">
        <v>109</v>
      </c>
      <c r="B97" s="89"/>
    </row>
    <row r="98" spans="1:2" x14ac:dyDescent="0.35">
      <c r="A98" s="39" t="s">
        <v>48</v>
      </c>
      <c r="B98" s="89"/>
    </row>
  </sheetData>
  <mergeCells count="2">
    <mergeCell ref="H32:I32"/>
    <mergeCell ref="A42:E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86EC-593C-435C-A8ED-C362DDD0B9CD}">
  <dimension ref="A1:J104"/>
  <sheetViews>
    <sheetView topLeftCell="A83" zoomScale="92" zoomScaleNormal="92" workbookViewId="0">
      <selection activeCell="A98" sqref="A98"/>
    </sheetView>
  </sheetViews>
  <sheetFormatPr baseColWidth="10" defaultRowHeight="14.5" x14ac:dyDescent="0.35"/>
  <cols>
    <col min="1" max="1" width="37.36328125" customWidth="1"/>
    <col min="4" max="4" width="10.90625" style="20"/>
    <col min="9" max="9" width="10.90625" style="32"/>
  </cols>
  <sheetData>
    <row r="1" spans="1:10" ht="21" x14ac:dyDescent="0.5">
      <c r="A1" s="21" t="s">
        <v>14</v>
      </c>
      <c r="B1" s="51">
        <f>'[1]Carbones à répercuter'!D3+1</f>
        <v>2023</v>
      </c>
    </row>
    <row r="2" spans="1:10" x14ac:dyDescent="0.35">
      <c r="A2" s="129" t="s">
        <v>83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20" customHeight="1" x14ac:dyDescent="0.35">
      <c r="A3" s="68"/>
      <c r="B3" s="1"/>
      <c r="C3" s="1"/>
      <c r="D3" s="1"/>
      <c r="E3" s="1"/>
      <c r="F3" s="1"/>
      <c r="G3" s="1"/>
      <c r="H3" s="1"/>
      <c r="I3" s="1"/>
      <c r="J3" s="1"/>
    </row>
    <row r="4" spans="1:10" ht="15" customHeight="1" x14ac:dyDescent="0.35">
      <c r="A4" s="66" t="s">
        <v>82</v>
      </c>
      <c r="B4" s="1"/>
      <c r="C4" s="1"/>
      <c r="D4" s="1"/>
      <c r="E4" s="1"/>
      <c r="F4" s="1"/>
      <c r="G4" s="1"/>
      <c r="H4" s="1"/>
      <c r="I4" s="1"/>
      <c r="J4" s="1"/>
    </row>
    <row r="5" spans="1:10" ht="65" x14ac:dyDescent="0.35">
      <c r="A5" s="22" t="s">
        <v>15</v>
      </c>
      <c r="B5" s="19" t="s">
        <v>7</v>
      </c>
      <c r="C5" s="108" t="s">
        <v>90</v>
      </c>
      <c r="D5" s="19" t="s">
        <v>93</v>
      </c>
      <c r="E5" s="19" t="s">
        <v>94</v>
      </c>
      <c r="F5" s="19" t="s">
        <v>92</v>
      </c>
      <c r="G5" s="108" t="s">
        <v>91</v>
      </c>
      <c r="I5"/>
      <c r="J5" s="6" t="s">
        <v>95</v>
      </c>
    </row>
    <row r="6" spans="1:10" ht="26.5" x14ac:dyDescent="0.35">
      <c r="A6" s="23" t="s">
        <v>85</v>
      </c>
      <c r="B6" s="27"/>
      <c r="C6" s="28"/>
      <c r="D6" s="28"/>
      <c r="E6" s="33"/>
      <c r="F6" s="28"/>
      <c r="G6" s="24"/>
      <c r="I6"/>
      <c r="J6" s="7"/>
    </row>
    <row r="7" spans="1:10" ht="26.5" x14ac:dyDescent="0.35">
      <c r="A7" s="23" t="s">
        <v>47</v>
      </c>
      <c r="B7" s="27"/>
      <c r="C7" s="28"/>
      <c r="D7" s="28"/>
      <c r="E7" s="33"/>
      <c r="F7" s="28"/>
      <c r="G7" s="24"/>
      <c r="I7"/>
      <c r="J7" s="7"/>
    </row>
    <row r="8" spans="1:10" x14ac:dyDescent="0.35">
      <c r="A8" s="25" t="s">
        <v>16</v>
      </c>
      <c r="B8" s="16"/>
      <c r="C8" s="17"/>
      <c r="D8" s="16"/>
      <c r="E8" s="17"/>
      <c r="F8" s="16"/>
      <c r="G8" s="17"/>
      <c r="I8"/>
      <c r="J8" s="7"/>
    </row>
    <row r="9" spans="1:10" x14ac:dyDescent="0.35">
      <c r="A9" s="26" t="s">
        <v>17</v>
      </c>
      <c r="B9" s="16"/>
      <c r="C9" s="17" t="s">
        <v>9</v>
      </c>
      <c r="D9" s="16"/>
      <c r="E9" s="17"/>
      <c r="F9" s="16">
        <v>0</v>
      </c>
      <c r="G9" s="17">
        <f>(F9*J9)+E9</f>
        <v>0</v>
      </c>
      <c r="I9"/>
      <c r="J9" s="7">
        <v>0.1</v>
      </c>
    </row>
    <row r="10" spans="1:10" x14ac:dyDescent="0.35">
      <c r="A10" s="26" t="s">
        <v>18</v>
      </c>
      <c r="B10" s="16"/>
      <c r="C10" s="17" t="s">
        <v>10</v>
      </c>
      <c r="D10" s="16"/>
      <c r="E10" s="17"/>
      <c r="F10" s="16">
        <v>300</v>
      </c>
      <c r="G10" s="17">
        <f t="shared" ref="G10:G31" si="0">(F10*J10)+E10</f>
        <v>2280</v>
      </c>
      <c r="I10"/>
      <c r="J10" s="7">
        <v>7.6</v>
      </c>
    </row>
    <row r="11" spans="1:10" x14ac:dyDescent="0.35">
      <c r="A11" s="26" t="s">
        <v>19</v>
      </c>
      <c r="B11" s="16"/>
      <c r="C11" s="17"/>
      <c r="D11" s="16"/>
      <c r="E11" s="17"/>
      <c r="F11" s="16"/>
      <c r="G11" s="17"/>
      <c r="I11"/>
      <c r="J11" s="7"/>
    </row>
    <row r="12" spans="1:10" x14ac:dyDescent="0.35">
      <c r="A12" s="26" t="s">
        <v>5</v>
      </c>
      <c r="B12" s="16"/>
      <c r="C12" s="17" t="s">
        <v>9</v>
      </c>
      <c r="D12" s="16"/>
      <c r="E12" s="17"/>
      <c r="F12" s="16">
        <v>500</v>
      </c>
      <c r="G12" s="17">
        <f t="shared" si="0"/>
        <v>50</v>
      </c>
      <c r="I12"/>
      <c r="J12" s="7">
        <v>0.1</v>
      </c>
    </row>
    <row r="13" spans="1:10" x14ac:dyDescent="0.35">
      <c r="A13" s="26" t="s">
        <v>20</v>
      </c>
      <c r="B13" s="16"/>
      <c r="C13" s="17" t="s">
        <v>10</v>
      </c>
      <c r="D13" s="16"/>
      <c r="E13" s="17"/>
      <c r="F13" s="16">
        <v>0</v>
      </c>
      <c r="G13" s="17">
        <f t="shared" si="0"/>
        <v>0</v>
      </c>
      <c r="I13"/>
      <c r="J13" s="7">
        <v>8</v>
      </c>
    </row>
    <row r="14" spans="1:10" x14ac:dyDescent="0.35">
      <c r="A14" s="29" t="s">
        <v>21</v>
      </c>
      <c r="B14" s="16"/>
      <c r="C14" s="17"/>
      <c r="D14" s="16"/>
      <c r="E14" s="17"/>
      <c r="F14" s="16"/>
      <c r="G14" s="17"/>
      <c r="I14"/>
      <c r="J14" s="7"/>
    </row>
    <row r="15" spans="1:10" x14ac:dyDescent="0.35">
      <c r="A15" s="5" t="s">
        <v>22</v>
      </c>
      <c r="B15" s="16"/>
      <c r="C15" s="17" t="s">
        <v>13</v>
      </c>
      <c r="D15" s="16"/>
      <c r="E15" s="17"/>
      <c r="F15" s="16">
        <v>100</v>
      </c>
      <c r="G15" s="17">
        <f t="shared" si="0"/>
        <v>900</v>
      </c>
      <c r="I15"/>
      <c r="J15" s="7">
        <v>9</v>
      </c>
    </row>
    <row r="16" spans="1:10" x14ac:dyDescent="0.35">
      <c r="A16" s="5" t="s">
        <v>23</v>
      </c>
      <c r="B16" s="16"/>
      <c r="C16" s="17" t="s">
        <v>13</v>
      </c>
      <c r="D16" s="16"/>
      <c r="E16" s="17"/>
      <c r="F16" s="16">
        <v>0</v>
      </c>
      <c r="G16" s="17">
        <f t="shared" si="0"/>
        <v>0</v>
      </c>
      <c r="I16"/>
      <c r="J16" s="7">
        <v>7</v>
      </c>
    </row>
    <row r="17" spans="1:10" x14ac:dyDescent="0.35">
      <c r="A17" s="30" t="s">
        <v>24</v>
      </c>
      <c r="B17" s="16"/>
      <c r="C17" s="17"/>
      <c r="D17" s="16"/>
      <c r="E17" s="17"/>
      <c r="F17" s="16"/>
      <c r="G17" s="17"/>
      <c r="I17"/>
      <c r="J17" s="7"/>
    </row>
    <row r="18" spans="1:10" x14ac:dyDescent="0.35">
      <c r="A18" s="5" t="s">
        <v>70</v>
      </c>
      <c r="B18" s="16"/>
      <c r="C18" s="17" t="s">
        <v>38</v>
      </c>
      <c r="D18" s="16"/>
      <c r="E18" s="17"/>
      <c r="F18" s="16">
        <v>10000</v>
      </c>
      <c r="G18" s="17">
        <f t="shared" si="0"/>
        <v>700.00000000000011</v>
      </c>
      <c r="I18"/>
      <c r="J18" s="34">
        <v>7.0000000000000007E-2</v>
      </c>
    </row>
    <row r="19" spans="1:10" x14ac:dyDescent="0.35">
      <c r="A19" s="5" t="s">
        <v>71</v>
      </c>
      <c r="B19" s="16"/>
      <c r="C19" s="17" t="s">
        <v>38</v>
      </c>
      <c r="D19" s="16"/>
      <c r="E19" s="17"/>
      <c r="F19" s="16">
        <v>1000</v>
      </c>
      <c r="G19" s="17">
        <f t="shared" si="0"/>
        <v>70</v>
      </c>
      <c r="I19"/>
      <c r="J19" s="34">
        <v>7.0000000000000007E-2</v>
      </c>
    </row>
    <row r="20" spans="1:10" x14ac:dyDescent="0.35">
      <c r="A20" s="5" t="s">
        <v>8</v>
      </c>
      <c r="B20" s="16"/>
      <c r="C20" s="17" t="s">
        <v>39</v>
      </c>
      <c r="D20" s="16"/>
      <c r="E20" s="17"/>
      <c r="F20" s="16">
        <v>500</v>
      </c>
      <c r="G20" s="17">
        <f t="shared" si="0"/>
        <v>1250</v>
      </c>
      <c r="I20"/>
      <c r="J20" s="34">
        <v>2.5</v>
      </c>
    </row>
    <row r="21" spans="1:10" x14ac:dyDescent="0.35">
      <c r="A21" s="5" t="s">
        <v>25</v>
      </c>
      <c r="B21" s="16"/>
      <c r="C21" s="17" t="s">
        <v>40</v>
      </c>
      <c r="D21" s="16"/>
      <c r="E21" s="17"/>
      <c r="F21" s="16"/>
      <c r="G21" s="17">
        <f t="shared" si="0"/>
        <v>0</v>
      </c>
      <c r="I21"/>
      <c r="J21" s="34">
        <v>2.5</v>
      </c>
    </row>
    <row r="22" spans="1:10" x14ac:dyDescent="0.35">
      <c r="A22" s="5" t="s">
        <v>26</v>
      </c>
      <c r="B22" s="16"/>
      <c r="C22" s="17" t="s">
        <v>10</v>
      </c>
      <c r="D22" s="16"/>
      <c r="E22" s="17"/>
      <c r="F22" s="16"/>
      <c r="G22" s="17">
        <f t="shared" si="0"/>
        <v>0</v>
      </c>
      <c r="I22"/>
      <c r="J22" s="34">
        <v>2.35</v>
      </c>
    </row>
    <row r="23" spans="1:10" x14ac:dyDescent="0.35">
      <c r="A23" s="29" t="s">
        <v>27</v>
      </c>
      <c r="B23" s="16"/>
      <c r="C23" s="17"/>
      <c r="D23" s="16"/>
      <c r="E23" s="17"/>
      <c r="F23" s="16"/>
      <c r="G23" s="17"/>
      <c r="I23"/>
      <c r="J23" s="7"/>
    </row>
    <row r="24" spans="1:10" x14ac:dyDescent="0.35">
      <c r="A24" s="30" t="s">
        <v>28</v>
      </c>
      <c r="B24" s="16"/>
      <c r="C24" s="17"/>
      <c r="D24" s="16"/>
      <c r="E24" s="17"/>
      <c r="F24" s="16"/>
      <c r="G24" s="17"/>
      <c r="I24"/>
      <c r="J24" s="7"/>
    </row>
    <row r="25" spans="1:10" x14ac:dyDescent="0.35">
      <c r="A25" s="5" t="s">
        <v>29</v>
      </c>
      <c r="B25" s="16"/>
      <c r="C25" s="17" t="s">
        <v>41</v>
      </c>
      <c r="D25" s="16"/>
      <c r="E25" s="17"/>
      <c r="F25" s="16">
        <v>1200</v>
      </c>
      <c r="G25" s="17">
        <f t="shared" si="0"/>
        <v>240</v>
      </c>
      <c r="I25"/>
      <c r="J25" s="7">
        <v>0.2</v>
      </c>
    </row>
    <row r="26" spans="1:10" x14ac:dyDescent="0.35">
      <c r="A26" s="5" t="s">
        <v>30</v>
      </c>
      <c r="B26" s="16"/>
      <c r="C26" s="17" t="s">
        <v>41</v>
      </c>
      <c r="D26" s="16"/>
      <c r="E26" s="17"/>
      <c r="F26" s="16"/>
      <c r="G26" s="17">
        <f t="shared" si="0"/>
        <v>0</v>
      </c>
      <c r="I26"/>
      <c r="J26" s="7">
        <v>0.3</v>
      </c>
    </row>
    <row r="27" spans="1:10" x14ac:dyDescent="0.35">
      <c r="A27" s="5" t="s">
        <v>31</v>
      </c>
      <c r="B27" s="16"/>
      <c r="C27" s="17" t="s">
        <v>41</v>
      </c>
      <c r="D27" s="16"/>
      <c r="E27" s="17"/>
      <c r="F27" s="16"/>
      <c r="G27" s="17">
        <f t="shared" si="0"/>
        <v>0</v>
      </c>
      <c r="I27"/>
      <c r="J27" s="7">
        <v>0.06</v>
      </c>
    </row>
    <row r="28" spans="1:10" x14ac:dyDescent="0.35">
      <c r="A28" s="31" t="s">
        <v>32</v>
      </c>
      <c r="B28" s="16"/>
      <c r="C28" s="17" t="s">
        <v>41</v>
      </c>
      <c r="D28" s="16"/>
      <c r="E28" s="17"/>
      <c r="F28" s="16">
        <v>5000</v>
      </c>
      <c r="G28" s="17">
        <f t="shared" si="0"/>
        <v>700.00000000000011</v>
      </c>
      <c r="I28"/>
      <c r="J28" s="7">
        <v>0.14000000000000001</v>
      </c>
    </row>
    <row r="29" spans="1:10" x14ac:dyDescent="0.35">
      <c r="A29" s="30" t="s">
        <v>33</v>
      </c>
      <c r="B29" s="16"/>
      <c r="C29" s="17"/>
      <c r="D29" s="16"/>
      <c r="E29" s="17"/>
      <c r="F29" s="16"/>
      <c r="G29" s="17"/>
      <c r="I29"/>
      <c r="J29" s="7"/>
    </row>
    <row r="30" spans="1:10" x14ac:dyDescent="0.35">
      <c r="A30" s="5" t="s">
        <v>34</v>
      </c>
      <c r="B30" s="16">
        <v>5000</v>
      </c>
      <c r="C30" s="17" t="s">
        <v>42</v>
      </c>
      <c r="D30" s="16"/>
      <c r="E30" s="17"/>
      <c r="F30" s="16">
        <v>4</v>
      </c>
      <c r="G30" s="17">
        <f t="shared" si="0"/>
        <v>1200</v>
      </c>
      <c r="I30"/>
      <c r="J30" s="7">
        <v>300</v>
      </c>
    </row>
    <row r="31" spans="1:10" x14ac:dyDescent="0.35">
      <c r="A31" s="5" t="s">
        <v>35</v>
      </c>
      <c r="B31" s="16">
        <v>1500</v>
      </c>
      <c r="C31" s="17" t="s">
        <v>42</v>
      </c>
      <c r="D31" s="112"/>
      <c r="E31" s="16"/>
      <c r="F31" s="16">
        <v>1</v>
      </c>
      <c r="G31" s="17">
        <f t="shared" si="0"/>
        <v>150</v>
      </c>
      <c r="I31"/>
      <c r="J31" s="7">
        <v>150</v>
      </c>
    </row>
    <row r="32" spans="1:10" x14ac:dyDescent="0.35">
      <c r="A32" s="29" t="s">
        <v>36</v>
      </c>
      <c r="B32" s="27"/>
      <c r="C32" s="27"/>
      <c r="D32" s="17"/>
      <c r="E32" s="27"/>
      <c r="F32" s="4"/>
      <c r="G32" s="17"/>
      <c r="J32" s="7"/>
    </row>
    <row r="33" spans="1:10" ht="26.5" x14ac:dyDescent="0.35">
      <c r="A33" s="115" t="s">
        <v>99</v>
      </c>
      <c r="B33" s="27"/>
      <c r="C33" s="27"/>
      <c r="D33" s="17">
        <v>100</v>
      </c>
      <c r="E33" s="27"/>
      <c r="F33" s="4"/>
      <c r="G33" s="17">
        <f>(F33*J33)+E33</f>
        <v>0</v>
      </c>
      <c r="H33" s="125" t="s">
        <v>100</v>
      </c>
      <c r="I33" s="131"/>
      <c r="J33" s="4"/>
    </row>
    <row r="34" spans="1:10" ht="26.5" x14ac:dyDescent="0.35">
      <c r="A34" s="35" t="s">
        <v>37</v>
      </c>
      <c r="B34" s="16">
        <v>2000</v>
      </c>
      <c r="C34" s="17" t="s">
        <v>9</v>
      </c>
      <c r="D34" s="16"/>
      <c r="E34" s="17"/>
      <c r="F34" s="16">
        <v>2000</v>
      </c>
      <c r="G34" s="17">
        <f>(F34*J34)+E34</f>
        <v>1000</v>
      </c>
      <c r="I34"/>
      <c r="J34" s="7">
        <v>0.5</v>
      </c>
    </row>
    <row r="35" spans="1:10" x14ac:dyDescent="0.35">
      <c r="A35" s="35" t="s">
        <v>64</v>
      </c>
      <c r="B35" s="16"/>
      <c r="C35" s="17"/>
      <c r="D35" s="16"/>
      <c r="E35" s="17"/>
      <c r="F35" s="16"/>
      <c r="G35" s="17"/>
      <c r="I35"/>
      <c r="J35" s="32"/>
    </row>
    <row r="36" spans="1:10" x14ac:dyDescent="0.35">
      <c r="A36" s="35" t="s">
        <v>65</v>
      </c>
      <c r="B36" s="17"/>
      <c r="C36" s="17"/>
      <c r="D36" s="16"/>
      <c r="E36" s="17"/>
      <c r="F36" s="17"/>
      <c r="G36" s="17"/>
      <c r="I36"/>
      <c r="J36" s="32"/>
    </row>
    <row r="37" spans="1:10" x14ac:dyDescent="0.35">
      <c r="A37" s="100"/>
      <c r="D37"/>
      <c r="E37" s="20"/>
      <c r="I37"/>
      <c r="J37" s="32"/>
    </row>
    <row r="39" spans="1:10" ht="15" customHeight="1" thickBot="1" x14ac:dyDescent="0.4">
      <c r="A39" s="66" t="s">
        <v>62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15" thickBot="1" x14ac:dyDescent="0.4">
      <c r="A40" s="36" t="s">
        <v>43</v>
      </c>
      <c r="B40" s="52">
        <v>600</v>
      </c>
    </row>
    <row r="41" spans="1:10" ht="15" thickBot="1" x14ac:dyDescent="0.4">
      <c r="A41" s="36" t="s">
        <v>44</v>
      </c>
      <c r="B41" s="37"/>
    </row>
    <row r="42" spans="1:10" ht="15" thickBot="1" x14ac:dyDescent="0.4">
      <c r="A42" s="38" t="s">
        <v>45</v>
      </c>
      <c r="B42" s="37"/>
    </row>
    <row r="43" spans="1:10" ht="29.5" thickBot="1" x14ac:dyDescent="0.4">
      <c r="A43" s="83" t="s">
        <v>80</v>
      </c>
      <c r="B43" s="92"/>
    </row>
    <row r="44" spans="1:10" x14ac:dyDescent="0.35">
      <c r="A44" s="83"/>
      <c r="B44" s="84"/>
    </row>
    <row r="45" spans="1:10" s="53" customFormat="1" ht="15" customHeight="1" thickBot="1" x14ac:dyDescent="0.4">
      <c r="A45" s="128" t="s">
        <v>79</v>
      </c>
      <c r="B45" s="128"/>
      <c r="C45" s="128"/>
      <c r="D45" s="55"/>
      <c r="E45" s="55"/>
      <c r="F45" s="55"/>
      <c r="G45" s="55"/>
      <c r="H45" s="55"/>
      <c r="I45" s="55"/>
      <c r="J45" s="55"/>
    </row>
    <row r="46" spans="1:10" s="53" customFormat="1" ht="15" thickBot="1" x14ac:dyDescent="0.4">
      <c r="A46" s="67" t="s">
        <v>106</v>
      </c>
      <c r="B46" s="37">
        <v>60</v>
      </c>
      <c r="C46" s="55"/>
      <c r="D46" s="55" t="s">
        <v>107</v>
      </c>
      <c r="E46" s="55"/>
      <c r="F46" s="55"/>
      <c r="G46" s="55"/>
      <c r="H46" s="55"/>
      <c r="I46" s="55"/>
      <c r="J46" s="55"/>
    </row>
    <row r="47" spans="1:10" s="53" customFormat="1" ht="15" thickBot="1" x14ac:dyDescent="0.4">
      <c r="A47" s="67" t="s">
        <v>96</v>
      </c>
      <c r="B47" s="37">
        <v>10</v>
      </c>
      <c r="C47" s="55"/>
      <c r="D47" s="55"/>
      <c r="E47" s="55"/>
      <c r="F47" s="55"/>
      <c r="G47" s="55"/>
      <c r="H47" s="55"/>
      <c r="I47" s="55"/>
      <c r="J47" s="55"/>
    </row>
    <row r="48" spans="1:10" ht="36" customHeight="1" x14ac:dyDescent="0.35">
      <c r="A48" s="127" t="s">
        <v>86</v>
      </c>
      <c r="B48" s="127"/>
      <c r="C48" s="127"/>
      <c r="D48" s="127"/>
      <c r="E48" s="127"/>
    </row>
    <row r="49" spans="1:5" ht="36" customHeight="1" x14ac:dyDescent="0.35">
      <c r="A49" s="73" t="s">
        <v>101</v>
      </c>
      <c r="B49" s="85">
        <f>B89</f>
        <v>30981.666666666664</v>
      </c>
      <c r="C49" s="76"/>
      <c r="D49" s="76"/>
      <c r="E49" s="76"/>
    </row>
    <row r="50" spans="1:5" ht="36" customHeight="1" x14ac:dyDescent="0.35">
      <c r="A50" s="73" t="s">
        <v>87</v>
      </c>
      <c r="B50" s="87">
        <f>B40</f>
        <v>600</v>
      </c>
      <c r="C50" s="76"/>
      <c r="D50" s="76"/>
      <c r="E50" s="76"/>
    </row>
    <row r="51" spans="1:5" ht="36" customHeight="1" x14ac:dyDescent="0.35">
      <c r="A51" s="73" t="s">
        <v>102</v>
      </c>
      <c r="B51" s="105">
        <f>B49/B40</f>
        <v>51.636111111111106</v>
      </c>
    </row>
    <row r="52" spans="1:5" x14ac:dyDescent="0.35">
      <c r="A52" s="73" t="s">
        <v>103</v>
      </c>
      <c r="B52" s="105">
        <f>B104</f>
        <v>0</v>
      </c>
    </row>
    <row r="53" spans="1:5" x14ac:dyDescent="0.35">
      <c r="B53" s="85"/>
    </row>
    <row r="54" spans="1:5" ht="66" customHeight="1" x14ac:dyDescent="0.35">
      <c r="A54" s="76" t="s">
        <v>97</v>
      </c>
      <c r="B54" s="106"/>
      <c r="C54" s="44" t="s">
        <v>89</v>
      </c>
      <c r="D54" s="44" t="s">
        <v>88</v>
      </c>
    </row>
    <row r="55" spans="1:5" x14ac:dyDescent="0.35">
      <c r="A55" s="40" t="s">
        <v>46</v>
      </c>
      <c r="B55" s="85">
        <f>'Carbones à répercuter'!C21</f>
        <v>4675</v>
      </c>
      <c r="C55" s="102"/>
      <c r="D55" s="102"/>
    </row>
    <row r="56" spans="1:5" x14ac:dyDescent="0.35">
      <c r="A56" s="40" t="s">
        <v>51</v>
      </c>
      <c r="B56" s="85"/>
      <c r="C56" s="102"/>
      <c r="D56" s="102"/>
    </row>
    <row r="57" spans="1:5" x14ac:dyDescent="0.35">
      <c r="A57" s="41" t="s">
        <v>17</v>
      </c>
      <c r="B57" s="85">
        <f>G9</f>
        <v>0</v>
      </c>
      <c r="C57" s="102"/>
      <c r="D57" s="102"/>
    </row>
    <row r="58" spans="1:5" x14ac:dyDescent="0.35">
      <c r="A58" s="41" t="s">
        <v>18</v>
      </c>
      <c r="B58" s="85">
        <f>G10</f>
        <v>2280</v>
      </c>
      <c r="C58" s="102"/>
      <c r="D58" s="102"/>
    </row>
    <row r="59" spans="1:5" x14ac:dyDescent="0.35">
      <c r="A59" s="41" t="s">
        <v>19</v>
      </c>
      <c r="B59" s="85">
        <f>G11</f>
        <v>0</v>
      </c>
      <c r="C59" s="102"/>
      <c r="D59" s="102"/>
    </row>
    <row r="60" spans="1:5" x14ac:dyDescent="0.35">
      <c r="A60" s="41" t="s">
        <v>5</v>
      </c>
      <c r="B60" s="85">
        <f>G12</f>
        <v>50</v>
      </c>
      <c r="C60" s="102"/>
      <c r="D60" s="102"/>
    </row>
    <row r="61" spans="1:5" x14ac:dyDescent="0.35">
      <c r="A61" s="41" t="s">
        <v>20</v>
      </c>
      <c r="B61" s="85">
        <f>G13</f>
        <v>0</v>
      </c>
      <c r="C61" s="102"/>
      <c r="D61" s="102"/>
    </row>
    <row r="62" spans="1:5" x14ac:dyDescent="0.35">
      <c r="A62" s="41" t="s">
        <v>52</v>
      </c>
      <c r="B62" s="85">
        <f>SUM(B57:B61)</f>
        <v>2330</v>
      </c>
      <c r="C62" s="102"/>
      <c r="D62" s="102"/>
    </row>
    <row r="63" spans="1:5" x14ac:dyDescent="0.35">
      <c r="A63" s="42" t="s">
        <v>21</v>
      </c>
      <c r="B63" s="85"/>
      <c r="C63" s="102"/>
      <c r="D63" s="102"/>
    </row>
    <row r="64" spans="1:5" x14ac:dyDescent="0.35">
      <c r="A64" s="41" t="s">
        <v>22</v>
      </c>
      <c r="B64" s="85">
        <f>G15</f>
        <v>900</v>
      </c>
      <c r="C64" s="102">
        <f>(('Année 1'!D14+'Année 1'!F14)/'Année 1'!B38)+(('Année 2'!D15+'Année 2'!F15)/'Année 2'!B40)</f>
        <v>0.16666666666666666</v>
      </c>
      <c r="D64" s="102">
        <f>IF('Année 1'!G14=0,C64*(G15/(F15+D15)),C64*('Année 1'!G14/('Année 1'!D14+'Année 1'!F14)))</f>
        <v>1.5</v>
      </c>
      <c r="E64" s="45"/>
    </row>
    <row r="65" spans="1:4" x14ac:dyDescent="0.35">
      <c r="A65" s="41" t="s">
        <v>23</v>
      </c>
      <c r="B65" s="85">
        <f>G16</f>
        <v>0</v>
      </c>
      <c r="C65" s="102">
        <f>(('Année 1'!D15+'Année 1'!F15)/'Année 1'!B38)-(('Année 2'!D16+'Année 2'!F16)/'Année 2'!B40)</f>
        <v>0.2</v>
      </c>
      <c r="D65" s="102">
        <f>IF('Année 1'!G15=0,C65*(G16/(F16+D16)),C65*('Année 1'!G15/('Année 1'!D15+'Année 1'!F15)))</f>
        <v>1.4000000000000001</v>
      </c>
    </row>
    <row r="66" spans="1:4" x14ac:dyDescent="0.35">
      <c r="A66" s="40" t="s">
        <v>24</v>
      </c>
      <c r="B66" s="85"/>
      <c r="C66" s="102"/>
      <c r="D66" s="102"/>
    </row>
    <row r="67" spans="1:4" x14ac:dyDescent="0.35">
      <c r="A67" s="41" t="s">
        <v>70</v>
      </c>
      <c r="B67" s="85">
        <f>G18</f>
        <v>700.00000000000011</v>
      </c>
      <c r="C67" s="102">
        <f>(('Année 1'!D17+'Année 1'!F17)/'Année 1'!B38)-(('Année 2'!D18+'Année 2'!F18)/'Année 2'!B40)</f>
        <v>-16.666666666666668</v>
      </c>
      <c r="D67" s="102">
        <f>IF('Année 1'!G17=0,C67*(G18/(F18+D18)),C67*('Année 1'!G17/('Année 1'!D17+'Année 1'!F17)))</f>
        <v>-1.166666666666667</v>
      </c>
    </row>
    <row r="68" spans="1:4" x14ac:dyDescent="0.35">
      <c r="A68" s="41" t="s">
        <v>71</v>
      </c>
      <c r="B68" s="85">
        <f>G19</f>
        <v>70</v>
      </c>
      <c r="C68" s="102">
        <f>(('Année 1'!D18+'Année 1'!F18)/'Année 1'!B38)-(('Année 2'!D19+'Année 2'!F19)/'Année 2'!B40)</f>
        <v>-1.6666666666666667</v>
      </c>
      <c r="D68" s="102">
        <f>IF('Année 1'!G18=0,C68*(G19/(F19+D19)),C68*('Année 1'!G18/('Année 1'!D18+'Année 1'!F18)))</f>
        <v>-0.11666666666666668</v>
      </c>
    </row>
    <row r="69" spans="1:4" x14ac:dyDescent="0.35">
      <c r="A69" s="41" t="s">
        <v>8</v>
      </c>
      <c r="B69" s="85">
        <f>G20</f>
        <v>1250</v>
      </c>
      <c r="C69" s="102">
        <f>(('Année 1'!D19+'Année 1'!F19)/'Année 1'!B38)-(('Année 2'!D20+'Année 2'!F20)/'Année 2'!B40)</f>
        <v>-0.83333333333333337</v>
      </c>
      <c r="D69" s="102">
        <f>IF('Année 1'!G19=0,C69*(G20/(F20+D20)),C69*('Année 1'!G19/('Année 1'!D19+'Année 1'!F19)))</f>
        <v>-2.0833333333333335</v>
      </c>
    </row>
    <row r="70" spans="1:4" x14ac:dyDescent="0.35">
      <c r="A70" s="41" t="s">
        <v>25</v>
      </c>
      <c r="B70" s="85">
        <f>G21</f>
        <v>0</v>
      </c>
      <c r="C70" s="102">
        <f>(('Année 1'!D20+'Année 1'!F20)/'Année 1'!B38)-(('Année 2'!D21+'Année 2'!F21)/'Année 2'!B40)</f>
        <v>0.03</v>
      </c>
      <c r="D70" s="102">
        <f>IF('Année 1'!G20=0,C70*(G21/(F21+D21)),C70*('Année 1'!G20/('Année 1'!D20+'Année 1'!F20)))</f>
        <v>7.4999999999999997E-2</v>
      </c>
    </row>
    <row r="71" spans="1:4" x14ac:dyDescent="0.35">
      <c r="A71" s="41" t="s">
        <v>26</v>
      </c>
      <c r="B71" s="85">
        <f>G22</f>
        <v>0</v>
      </c>
      <c r="C71" s="102">
        <f>(('Année 1'!D21+'Année 1'!F21)/'Année 1'!B38)-(('Année 2'!D22+'Année 2'!F22)/'Année 2'!B40)</f>
        <v>8.0000000000000002E-3</v>
      </c>
      <c r="D71" s="102">
        <f>IF('Année 1'!G21=0,C71*(G22/(F22+D22)),C71*('Année 1'!G21/('Année 1'!D21+'Année 1'!F21)))</f>
        <v>1.8800000000000001E-2</v>
      </c>
    </row>
    <row r="72" spans="1:4" x14ac:dyDescent="0.35">
      <c r="A72" s="42" t="s">
        <v>27</v>
      </c>
      <c r="B72" s="85"/>
      <c r="C72" s="102"/>
      <c r="D72" s="102"/>
    </row>
    <row r="73" spans="1:4" x14ac:dyDescent="0.35">
      <c r="A73" s="40" t="s">
        <v>28</v>
      </c>
      <c r="B73" s="85"/>
      <c r="C73" s="102"/>
      <c r="D73" s="102"/>
    </row>
    <row r="74" spans="1:4" x14ac:dyDescent="0.35">
      <c r="A74" s="41" t="s">
        <v>29</v>
      </c>
      <c r="B74" s="85">
        <f>G25</f>
        <v>240</v>
      </c>
      <c r="C74" s="102">
        <f>(('Année 1'!D24+'Année 1'!F24)/'Année 1'!B38)-(('Année 2'!D25+'Année 2'!F25)/'Année 2'!B40)</f>
        <v>0</v>
      </c>
      <c r="D74" s="102">
        <f>IF('Année 1'!G24=0,C74*(G25/(F25+D25)),C74*('Année 1'!G24/('Année 1'!D24+'Année 1'!F24)))</f>
        <v>0</v>
      </c>
    </row>
    <row r="75" spans="1:4" x14ac:dyDescent="0.35">
      <c r="A75" s="41" t="s">
        <v>30</v>
      </c>
      <c r="B75" s="85">
        <f>G26</f>
        <v>0</v>
      </c>
      <c r="C75" s="102">
        <f>(('Année 1'!D25+'Année 1'!F25)/'Année 1'!B38)-(('Année 2'!D26+'Année 2'!F26)/'Année 2'!B40)</f>
        <v>0.1</v>
      </c>
      <c r="D75" s="102">
        <f>IF('Année 1'!G25=0,C75*(G26/(F26+D26)),C75*('Année 1'!G25/('Année 1'!D25+'Année 1'!F25)))</f>
        <v>0.03</v>
      </c>
    </row>
    <row r="76" spans="1:4" x14ac:dyDescent="0.35">
      <c r="A76" s="41" t="s">
        <v>31</v>
      </c>
      <c r="B76" s="85">
        <f>G27</f>
        <v>0</v>
      </c>
      <c r="C76" s="102">
        <f>(('Année 1'!D26+'Année 1'!F26)/'Année 1'!B38)-(('Année 2'!D27+'Année 2'!F27)/'Année 2'!B40)</f>
        <v>2</v>
      </c>
      <c r="D76" s="102">
        <f>IF('Année 1'!G26=0,C76*(G27/(F27+D27)),C76*('Année 1'!G26/('Année 1'!D26+'Année 1'!F26)))</f>
        <v>0.12</v>
      </c>
    </row>
    <row r="77" spans="1:4" x14ac:dyDescent="0.35">
      <c r="A77" s="43" t="s">
        <v>32</v>
      </c>
      <c r="B77" s="85">
        <f>G28</f>
        <v>700.00000000000011</v>
      </c>
      <c r="C77" s="102">
        <f>(('Année 1'!D27+'Année 1'!F27)/'Année 1'!B38)-(('Année 2'!D28+'Année 2'!F28)/'Année 2'!B40)</f>
        <v>-8.3333333333333339</v>
      </c>
      <c r="D77" s="102">
        <f>IF('Année 1'!G27=0,C77*(G28/(F28+D28)),C77*('Année 1'!G27/('Année 1'!D27+'Année 1'!F27)))</f>
        <v>-1.166666666666667</v>
      </c>
    </row>
    <row r="78" spans="1:4" x14ac:dyDescent="0.35">
      <c r="A78" s="40" t="s">
        <v>33</v>
      </c>
      <c r="B78" s="85"/>
      <c r="C78" s="102"/>
      <c r="D78" s="102"/>
    </row>
    <row r="79" spans="1:4" x14ac:dyDescent="0.35">
      <c r="A79" s="41" t="s">
        <v>34</v>
      </c>
      <c r="B79" s="85">
        <f>G30</f>
        <v>1200</v>
      </c>
      <c r="C79" s="102">
        <f>(('Année 1'!D29+'Année 1'!F29)/'Année 1'!B38)-(('Année 2'!D30+'Année 2'!F30)/'Année 2'!B40)</f>
        <v>-6.6666666666666671E-3</v>
      </c>
      <c r="D79" s="102">
        <f>IF('Année 1'!G29=0,C79*(G30/(F30+D30)),C79*('Année 1'!G29/('Année 1'!D29+'Année 1'!F29)))</f>
        <v>-2</v>
      </c>
    </row>
    <row r="80" spans="1:4" x14ac:dyDescent="0.35">
      <c r="A80" s="41" t="s">
        <v>35</v>
      </c>
      <c r="B80" s="85">
        <f>G31</f>
        <v>150</v>
      </c>
      <c r="C80" s="102">
        <f>(('Année 1'!D30+'Année 1'!F30)/'Année 1'!B38)-(('Année 2'!D31+'Année 2'!F31)/'Année 2'!B40)</f>
        <v>2.3333333333333331E-3</v>
      </c>
      <c r="D80" s="102">
        <f>IF('Année 1'!G30=0,C80*(G31/(F31+D31)),C80*('Année 1'!G30/('Année 1'!D30+'Année 1'!F30)))</f>
        <v>0.35583333333333328</v>
      </c>
    </row>
    <row r="81" spans="1:4" x14ac:dyDescent="0.35">
      <c r="A81" s="42" t="s">
        <v>36</v>
      </c>
      <c r="B81" s="85"/>
      <c r="C81" s="102"/>
      <c r="D81" s="102"/>
    </row>
    <row r="82" spans="1:4" ht="26.5" x14ac:dyDescent="0.35">
      <c r="A82" s="99" t="s">
        <v>99</v>
      </c>
      <c r="B82" s="85">
        <f>G33</f>
        <v>0</v>
      </c>
      <c r="C82" s="102">
        <f>(('Année 1'!D32+'Année 1'!F32)/'Année 1'!B38)-(('Année 2'!D33+'Année 2'!F33)/'Année 2'!B40)</f>
        <v>-0.16666666666666666</v>
      </c>
      <c r="D82" s="102">
        <f>IF('Année 1'!G32=0,C82*(G33/(F33+D33)),C82*('Année 1'!G32/('Année 1'!D32+'Année 1'!F32)))</f>
        <v>0</v>
      </c>
    </row>
    <row r="83" spans="1:4" ht="26.5" x14ac:dyDescent="0.35">
      <c r="A83" s="44" t="s">
        <v>37</v>
      </c>
      <c r="B83" s="85">
        <f>G34</f>
        <v>1000</v>
      </c>
      <c r="C83" s="102">
        <f>(('Année 1'!D33+'Année 1'!F33)/'Année 1'!B38)-(('Année 2'!D34+'Année 2'!F34)/'Année 2'!B40)</f>
        <v>-1.3333333333333335</v>
      </c>
      <c r="D83" s="102">
        <f>IF('Année 1'!G33=0,C83*(G34/(F34+D34)),C83*('Année 1'!G33/('Année 1'!D33+'Année 1'!F33)))</f>
        <v>-0.66666666666666674</v>
      </c>
    </row>
    <row r="84" spans="1:4" x14ac:dyDescent="0.35">
      <c r="A84" s="73" t="s">
        <v>50</v>
      </c>
      <c r="B84" s="85">
        <f>SUM(B55:B83)-B62</f>
        <v>13215</v>
      </c>
      <c r="C84" s="103"/>
      <c r="D84" s="104"/>
    </row>
    <row r="85" spans="1:4" x14ac:dyDescent="0.35">
      <c r="A85" s="73" t="s">
        <v>63</v>
      </c>
      <c r="B85" s="85">
        <f>'Carbones à répercuter'!I39</f>
        <v>17766.666666666664</v>
      </c>
      <c r="C85" s="80"/>
      <c r="D85" s="93"/>
    </row>
    <row r="86" spans="1:4" x14ac:dyDescent="0.35">
      <c r="A86" s="73" t="s">
        <v>72</v>
      </c>
      <c r="B86" s="85">
        <f>B84+B85</f>
        <v>30981.666666666664</v>
      </c>
      <c r="C86" s="80"/>
      <c r="D86" s="93"/>
    </row>
    <row r="87" spans="1:4" x14ac:dyDescent="0.35">
      <c r="A87" s="44" t="s">
        <v>64</v>
      </c>
      <c r="B87" s="85"/>
    </row>
    <row r="88" spans="1:4" x14ac:dyDescent="0.35">
      <c r="A88" s="44" t="s">
        <v>65</v>
      </c>
      <c r="B88" s="85"/>
    </row>
    <row r="89" spans="1:4" ht="29" x14ac:dyDescent="0.35">
      <c r="A89" s="73" t="s">
        <v>81</v>
      </c>
      <c r="B89" s="85">
        <f>B86+B87-B88</f>
        <v>30981.666666666664</v>
      </c>
    </row>
    <row r="90" spans="1:4" x14ac:dyDescent="0.35">
      <c r="A90" s="73" t="s">
        <v>87</v>
      </c>
      <c r="B90" s="85">
        <f>B40</f>
        <v>600</v>
      </c>
    </row>
    <row r="91" spans="1:4" x14ac:dyDescent="0.35">
      <c r="A91" s="39" t="s">
        <v>104</v>
      </c>
      <c r="B91" s="85">
        <f>B51</f>
        <v>51.636111111111106</v>
      </c>
    </row>
    <row r="92" spans="1:4" x14ac:dyDescent="0.35">
      <c r="A92" s="73"/>
      <c r="B92" s="85"/>
    </row>
    <row r="93" spans="1:4" ht="18.5" x14ac:dyDescent="0.45">
      <c r="A93" s="79" t="s">
        <v>69</v>
      </c>
      <c r="B93" s="85"/>
    </row>
    <row r="94" spans="1:4" ht="29" x14ac:dyDescent="0.35">
      <c r="A94" s="73" t="s">
        <v>66</v>
      </c>
      <c r="B94" s="85"/>
    </row>
    <row r="95" spans="1:4" x14ac:dyDescent="0.35">
      <c r="A95" s="75" t="s">
        <v>67</v>
      </c>
      <c r="B95" s="85"/>
    </row>
    <row r="96" spans="1:4" x14ac:dyDescent="0.35">
      <c r="A96" s="75" t="s">
        <v>68</v>
      </c>
      <c r="B96" s="85"/>
    </row>
    <row r="97" spans="1:2" x14ac:dyDescent="0.35">
      <c r="B97" s="85"/>
    </row>
    <row r="98" spans="1:2" ht="18.5" x14ac:dyDescent="0.45">
      <c r="A98" s="79" t="s">
        <v>110</v>
      </c>
      <c r="B98" s="85"/>
    </row>
    <row r="99" spans="1:2" x14ac:dyDescent="0.35">
      <c r="A99" s="80"/>
      <c r="B99" s="85"/>
    </row>
    <row r="100" spans="1:2" x14ac:dyDescent="0.35">
      <c r="A100" s="39" t="s">
        <v>105</v>
      </c>
      <c r="B100" s="85">
        <f>SUM(D64:D83)*'Année 1'!B38</f>
        <v>-1850.1833333333334</v>
      </c>
    </row>
    <row r="101" spans="1:2" x14ac:dyDescent="0.35">
      <c r="A101" s="39" t="s">
        <v>108</v>
      </c>
      <c r="B101" s="85">
        <f>-(B50-'Année 1'!B44)*(B51-B46)</f>
        <v>836.38888888888937</v>
      </c>
    </row>
    <row r="102" spans="1:2" x14ac:dyDescent="0.35">
      <c r="A102" s="39" t="s">
        <v>109</v>
      </c>
      <c r="B102" s="85">
        <f>+B47</f>
        <v>10</v>
      </c>
    </row>
    <row r="103" spans="1:2" x14ac:dyDescent="0.35">
      <c r="A103" s="39" t="s">
        <v>48</v>
      </c>
      <c r="B103" s="85">
        <f>SUM(B99:B101)</f>
        <v>-1013.794444444444</v>
      </c>
    </row>
    <row r="104" spans="1:2" x14ac:dyDescent="0.35">
      <c r="A104" s="39"/>
      <c r="B104" s="105"/>
    </row>
  </sheetData>
  <mergeCells count="4">
    <mergeCell ref="A45:C45"/>
    <mergeCell ref="A48:E48"/>
    <mergeCell ref="A2:J2"/>
    <mergeCell ref="H33:I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36DB-100C-42A8-8DF8-DEC1F28AF922}">
  <dimension ref="A1:J103"/>
  <sheetViews>
    <sheetView topLeftCell="A82" zoomScale="90" zoomScaleNormal="90" workbookViewId="0">
      <selection activeCell="D102" sqref="D102"/>
    </sheetView>
  </sheetViews>
  <sheetFormatPr baseColWidth="10" defaultRowHeight="14.5" x14ac:dyDescent="0.35"/>
  <cols>
    <col min="1" max="1" width="37.36328125" customWidth="1"/>
    <col min="4" max="4" width="10.90625" style="20"/>
    <col min="9" max="9" width="10.90625" style="32"/>
  </cols>
  <sheetData>
    <row r="1" spans="1:10" ht="21" x14ac:dyDescent="0.5">
      <c r="A1" s="21" t="s">
        <v>14</v>
      </c>
      <c r="B1" s="51">
        <f>'[1]Carbones à répercuter'!D3+2</f>
        <v>2024</v>
      </c>
    </row>
    <row r="2" spans="1:10" x14ac:dyDescent="0.35">
      <c r="A2" s="129" t="s">
        <v>83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5" customHeight="1" x14ac:dyDescent="0.35">
      <c r="A3" s="68"/>
      <c r="B3" s="1"/>
      <c r="C3" s="1"/>
      <c r="D3" s="1"/>
      <c r="E3" s="1"/>
      <c r="F3" s="1"/>
      <c r="G3" s="1"/>
      <c r="H3" s="1"/>
      <c r="I3" s="1"/>
      <c r="J3" s="1"/>
    </row>
    <row r="4" spans="1:10" ht="15" customHeight="1" x14ac:dyDescent="0.35">
      <c r="A4" s="66" t="s">
        <v>82</v>
      </c>
      <c r="B4" s="1"/>
      <c r="C4" s="1"/>
      <c r="D4" s="1"/>
      <c r="E4" s="1"/>
      <c r="F4" s="1"/>
      <c r="G4" s="1"/>
      <c r="H4" s="1"/>
      <c r="I4" s="1"/>
      <c r="J4" s="1"/>
    </row>
    <row r="5" spans="1:10" ht="65" x14ac:dyDescent="0.35">
      <c r="A5" s="22" t="s">
        <v>15</v>
      </c>
      <c r="B5" s="19" t="s">
        <v>7</v>
      </c>
      <c r="C5" s="108" t="s">
        <v>90</v>
      </c>
      <c r="D5" s="19" t="s">
        <v>93</v>
      </c>
      <c r="E5" s="19" t="s">
        <v>94</v>
      </c>
      <c r="F5" s="19" t="s">
        <v>92</v>
      </c>
      <c r="G5" s="108" t="s">
        <v>91</v>
      </c>
      <c r="I5"/>
      <c r="J5" s="6" t="s">
        <v>95</v>
      </c>
    </row>
    <row r="6" spans="1:10" ht="26.5" x14ac:dyDescent="0.35">
      <c r="A6" s="23" t="s">
        <v>84</v>
      </c>
      <c r="B6" s="27"/>
      <c r="C6" s="28"/>
      <c r="D6" s="28"/>
      <c r="E6" s="33"/>
      <c r="F6" s="28"/>
      <c r="G6" s="24"/>
      <c r="I6"/>
      <c r="J6" s="7"/>
    </row>
    <row r="7" spans="1:10" ht="26.5" x14ac:dyDescent="0.35">
      <c r="A7" s="23" t="s">
        <v>47</v>
      </c>
      <c r="B7" s="27"/>
      <c r="C7" s="28"/>
      <c r="D7" s="28"/>
      <c r="E7" s="33"/>
      <c r="F7" s="28"/>
      <c r="G7" s="24"/>
      <c r="I7"/>
      <c r="J7" s="7"/>
    </row>
    <row r="8" spans="1:10" x14ac:dyDescent="0.35">
      <c r="A8" s="25" t="s">
        <v>16</v>
      </c>
      <c r="B8" s="27"/>
      <c r="C8" s="4"/>
      <c r="D8" s="27"/>
      <c r="E8" s="17"/>
      <c r="F8" s="27"/>
      <c r="G8" s="4"/>
      <c r="I8"/>
      <c r="J8" s="7"/>
    </row>
    <row r="9" spans="1:10" x14ac:dyDescent="0.35">
      <c r="A9" s="26" t="s">
        <v>17</v>
      </c>
      <c r="B9" s="16">
        <v>100000</v>
      </c>
      <c r="C9" s="17" t="s">
        <v>9</v>
      </c>
      <c r="D9" s="16"/>
      <c r="E9" s="17"/>
      <c r="F9" s="16">
        <v>100</v>
      </c>
      <c r="G9" s="17">
        <f>(F9*J9)+E9</f>
        <v>10</v>
      </c>
      <c r="I9"/>
      <c r="J9" s="7">
        <v>0.1</v>
      </c>
    </row>
    <row r="10" spans="1:10" x14ac:dyDescent="0.35">
      <c r="A10" s="26" t="s">
        <v>18</v>
      </c>
      <c r="B10" s="16">
        <v>5000</v>
      </c>
      <c r="C10" s="17" t="s">
        <v>10</v>
      </c>
      <c r="D10" s="16"/>
      <c r="E10" s="17"/>
      <c r="F10" s="16">
        <v>500</v>
      </c>
      <c r="G10" s="17">
        <f t="shared" ref="G10:G33" si="0">(F10*J10)+E10</f>
        <v>3800</v>
      </c>
      <c r="I10"/>
      <c r="J10" s="7">
        <v>7.6</v>
      </c>
    </row>
    <row r="11" spans="1:10" x14ac:dyDescent="0.35">
      <c r="A11" s="26" t="s">
        <v>19</v>
      </c>
      <c r="B11" s="16"/>
      <c r="C11" s="17"/>
      <c r="D11" s="16"/>
      <c r="E11" s="17"/>
      <c r="F11" s="16"/>
      <c r="G11" s="17">
        <f t="shared" si="0"/>
        <v>0</v>
      </c>
      <c r="I11"/>
      <c r="J11" s="7"/>
    </row>
    <row r="12" spans="1:10" x14ac:dyDescent="0.35">
      <c r="A12" s="26" t="s">
        <v>5</v>
      </c>
      <c r="B12" s="16"/>
      <c r="C12" s="17" t="s">
        <v>9</v>
      </c>
      <c r="D12" s="16"/>
      <c r="E12" s="17"/>
      <c r="F12" s="16"/>
      <c r="G12" s="17">
        <f t="shared" si="0"/>
        <v>0</v>
      </c>
      <c r="I12"/>
      <c r="J12" s="7">
        <v>0.1</v>
      </c>
    </row>
    <row r="13" spans="1:10" x14ac:dyDescent="0.35">
      <c r="A13" s="26" t="s">
        <v>20</v>
      </c>
      <c r="B13" s="16"/>
      <c r="C13" s="17" t="s">
        <v>10</v>
      </c>
      <c r="D13" s="16"/>
      <c r="E13" s="17"/>
      <c r="F13" s="16"/>
      <c r="G13" s="17">
        <f t="shared" si="0"/>
        <v>0</v>
      </c>
      <c r="I13"/>
      <c r="J13" s="7">
        <v>8</v>
      </c>
    </row>
    <row r="14" spans="1:10" x14ac:dyDescent="0.35">
      <c r="A14" s="29" t="s">
        <v>21</v>
      </c>
      <c r="B14" s="16"/>
      <c r="C14" s="17"/>
      <c r="D14" s="16"/>
      <c r="E14" s="17"/>
      <c r="F14" s="16"/>
      <c r="G14" s="17"/>
      <c r="I14"/>
      <c r="J14" s="7"/>
    </row>
    <row r="15" spans="1:10" x14ac:dyDescent="0.35">
      <c r="A15" s="5" t="s">
        <v>22</v>
      </c>
      <c r="B15" s="16"/>
      <c r="C15" s="17" t="s">
        <v>13</v>
      </c>
      <c r="D15" s="16"/>
      <c r="E15" s="17"/>
      <c r="F15" s="16">
        <v>200</v>
      </c>
      <c r="G15" s="17">
        <f t="shared" si="0"/>
        <v>1800</v>
      </c>
      <c r="I15"/>
      <c r="J15" s="7">
        <v>9</v>
      </c>
    </row>
    <row r="16" spans="1:10" x14ac:dyDescent="0.35">
      <c r="A16" s="5" t="s">
        <v>23</v>
      </c>
      <c r="B16" s="16"/>
      <c r="C16" s="17" t="s">
        <v>13</v>
      </c>
      <c r="D16" s="16"/>
      <c r="E16" s="17"/>
      <c r="F16" s="16">
        <v>200</v>
      </c>
      <c r="G16" s="17">
        <f t="shared" si="0"/>
        <v>1400</v>
      </c>
      <c r="I16"/>
      <c r="J16" s="7">
        <v>7</v>
      </c>
    </row>
    <row r="17" spans="1:10" x14ac:dyDescent="0.35">
      <c r="A17" s="30" t="s">
        <v>24</v>
      </c>
      <c r="B17" s="16"/>
      <c r="C17" s="17"/>
      <c r="D17" s="16"/>
      <c r="E17" s="17"/>
      <c r="F17" s="16"/>
      <c r="G17" s="17"/>
      <c r="I17"/>
      <c r="J17" s="7"/>
    </row>
    <row r="18" spans="1:10" x14ac:dyDescent="0.35">
      <c r="A18" s="5" t="s">
        <v>70</v>
      </c>
      <c r="B18" s="16"/>
      <c r="C18" s="17" t="s">
        <v>38</v>
      </c>
      <c r="D18" s="16"/>
      <c r="E18" s="17"/>
      <c r="F18" s="16"/>
      <c r="G18" s="17">
        <f t="shared" si="0"/>
        <v>0</v>
      </c>
      <c r="I18"/>
      <c r="J18" s="34">
        <v>7.0000000000000007E-2</v>
      </c>
    </row>
    <row r="19" spans="1:10" x14ac:dyDescent="0.35">
      <c r="A19" s="5" t="s">
        <v>71</v>
      </c>
      <c r="B19" s="16"/>
      <c r="C19" s="17" t="s">
        <v>38</v>
      </c>
      <c r="D19" s="16"/>
      <c r="E19" s="17"/>
      <c r="F19" s="16"/>
      <c r="G19" s="17">
        <f t="shared" si="0"/>
        <v>0</v>
      </c>
      <c r="I19"/>
      <c r="J19" s="34">
        <v>7.0000000000000007E-2</v>
      </c>
    </row>
    <row r="20" spans="1:10" x14ac:dyDescent="0.35">
      <c r="A20" s="5" t="s">
        <v>8</v>
      </c>
      <c r="B20" s="16"/>
      <c r="C20" s="17" t="s">
        <v>39</v>
      </c>
      <c r="D20" s="16"/>
      <c r="E20" s="17"/>
      <c r="F20" s="16">
        <v>50</v>
      </c>
      <c r="G20" s="17">
        <f t="shared" si="0"/>
        <v>125</v>
      </c>
      <c r="I20"/>
      <c r="J20" s="34">
        <v>2.5</v>
      </c>
    </row>
    <row r="21" spans="1:10" x14ac:dyDescent="0.35">
      <c r="A21" s="5" t="s">
        <v>25</v>
      </c>
      <c r="B21" s="16"/>
      <c r="C21" s="17" t="s">
        <v>40</v>
      </c>
      <c r="D21" s="16"/>
      <c r="E21" s="17"/>
      <c r="F21" s="16">
        <v>50</v>
      </c>
      <c r="G21" s="17">
        <f t="shared" si="0"/>
        <v>125</v>
      </c>
      <c r="I21"/>
      <c r="J21" s="34">
        <v>2.5</v>
      </c>
    </row>
    <row r="22" spans="1:10" x14ac:dyDescent="0.35">
      <c r="A22" s="5" t="s">
        <v>26</v>
      </c>
      <c r="B22" s="16"/>
      <c r="C22" s="17" t="s">
        <v>10</v>
      </c>
      <c r="D22" s="16"/>
      <c r="E22" s="17"/>
      <c r="F22" s="16">
        <v>50</v>
      </c>
      <c r="G22" s="17">
        <f t="shared" si="0"/>
        <v>117.5</v>
      </c>
      <c r="I22"/>
      <c r="J22" s="34">
        <v>2.35</v>
      </c>
    </row>
    <row r="23" spans="1:10" x14ac:dyDescent="0.35">
      <c r="A23" s="29" t="s">
        <v>27</v>
      </c>
      <c r="B23" s="16"/>
      <c r="C23" s="17"/>
      <c r="D23" s="16"/>
      <c r="E23" s="17"/>
      <c r="F23" s="16"/>
      <c r="G23" s="17"/>
      <c r="I23"/>
      <c r="J23" s="7"/>
    </row>
    <row r="24" spans="1:10" x14ac:dyDescent="0.35">
      <c r="A24" s="30" t="s">
        <v>28</v>
      </c>
      <c r="B24" s="16"/>
      <c r="C24" s="17"/>
      <c r="D24" s="16"/>
      <c r="E24" s="17"/>
      <c r="F24" s="16"/>
      <c r="G24" s="17"/>
      <c r="I24"/>
      <c r="J24" s="7"/>
    </row>
    <row r="25" spans="1:10" x14ac:dyDescent="0.35">
      <c r="A25" s="5" t="s">
        <v>29</v>
      </c>
      <c r="B25" s="16"/>
      <c r="C25" s="17" t="s">
        <v>41</v>
      </c>
      <c r="D25" s="16"/>
      <c r="E25" s="17"/>
      <c r="F25" s="16">
        <v>1000</v>
      </c>
      <c r="G25" s="17">
        <f t="shared" si="0"/>
        <v>200</v>
      </c>
      <c r="I25"/>
      <c r="J25" s="7">
        <v>0.2</v>
      </c>
    </row>
    <row r="26" spans="1:10" x14ac:dyDescent="0.35">
      <c r="A26" s="5" t="s">
        <v>30</v>
      </c>
      <c r="B26" s="16"/>
      <c r="C26" s="17" t="s">
        <v>41</v>
      </c>
      <c r="D26" s="16"/>
      <c r="E26" s="17"/>
      <c r="F26" s="16">
        <v>100</v>
      </c>
      <c r="G26" s="17">
        <f t="shared" si="0"/>
        <v>30</v>
      </c>
      <c r="I26"/>
      <c r="J26" s="7">
        <v>0.3</v>
      </c>
    </row>
    <row r="27" spans="1:10" x14ac:dyDescent="0.35">
      <c r="A27" s="5" t="s">
        <v>31</v>
      </c>
      <c r="B27" s="16"/>
      <c r="C27" s="17" t="s">
        <v>41</v>
      </c>
      <c r="D27" s="16"/>
      <c r="E27" s="17"/>
      <c r="F27" s="16">
        <v>500</v>
      </c>
      <c r="G27" s="17">
        <f t="shared" si="0"/>
        <v>30</v>
      </c>
      <c r="I27"/>
      <c r="J27" s="7">
        <v>0.06</v>
      </c>
    </row>
    <row r="28" spans="1:10" x14ac:dyDescent="0.35">
      <c r="A28" s="31" t="s">
        <v>32</v>
      </c>
      <c r="B28" s="16"/>
      <c r="C28" s="17" t="s">
        <v>41</v>
      </c>
      <c r="D28" s="16"/>
      <c r="E28" s="17"/>
      <c r="F28" s="16">
        <v>6000</v>
      </c>
      <c r="G28" s="17">
        <f t="shared" si="0"/>
        <v>840.00000000000011</v>
      </c>
      <c r="I28"/>
      <c r="J28" s="7">
        <v>0.14000000000000001</v>
      </c>
    </row>
    <row r="29" spans="1:10" x14ac:dyDescent="0.35">
      <c r="A29" s="30" t="s">
        <v>33</v>
      </c>
      <c r="B29" s="16"/>
      <c r="C29" s="17"/>
      <c r="D29" s="16"/>
      <c r="E29" s="17"/>
      <c r="F29" s="16"/>
      <c r="G29" s="17"/>
      <c r="I29"/>
      <c r="J29" s="7"/>
    </row>
    <row r="30" spans="1:10" x14ac:dyDescent="0.35">
      <c r="A30" s="5" t="s">
        <v>34</v>
      </c>
      <c r="B30" s="16"/>
      <c r="C30" s="17" t="s">
        <v>42</v>
      </c>
      <c r="D30" s="16"/>
      <c r="E30" s="17"/>
      <c r="F30" s="16">
        <v>0</v>
      </c>
      <c r="G30" s="17">
        <f t="shared" si="0"/>
        <v>0</v>
      </c>
      <c r="I30"/>
      <c r="J30" s="7">
        <v>300</v>
      </c>
    </row>
    <row r="31" spans="1:10" x14ac:dyDescent="0.35">
      <c r="A31" s="5" t="s">
        <v>35</v>
      </c>
      <c r="B31" s="16">
        <v>1500</v>
      </c>
      <c r="C31" s="17" t="s">
        <v>42</v>
      </c>
      <c r="D31" s="16"/>
      <c r="E31" s="17"/>
      <c r="F31" s="16">
        <v>1</v>
      </c>
      <c r="G31" s="17">
        <f t="shared" si="0"/>
        <v>150</v>
      </c>
      <c r="I31"/>
      <c r="J31" s="7">
        <v>150</v>
      </c>
    </row>
    <row r="32" spans="1:10" x14ac:dyDescent="0.35">
      <c r="A32" s="29" t="s">
        <v>36</v>
      </c>
      <c r="B32" s="27"/>
      <c r="C32" s="27"/>
      <c r="D32" s="17"/>
      <c r="E32" s="27"/>
      <c r="F32" s="4"/>
      <c r="G32" s="17"/>
      <c r="J32" s="7"/>
    </row>
    <row r="33" spans="1:10" ht="26.5" x14ac:dyDescent="0.35">
      <c r="A33" s="115" t="s">
        <v>99</v>
      </c>
      <c r="B33" s="27"/>
      <c r="C33" s="27"/>
      <c r="D33" s="17">
        <v>100</v>
      </c>
      <c r="E33" s="27"/>
      <c r="F33" s="4"/>
      <c r="G33" s="17">
        <f t="shared" si="0"/>
        <v>0</v>
      </c>
      <c r="H33" s="125" t="s">
        <v>100</v>
      </c>
      <c r="I33" s="131"/>
      <c r="J33" s="4"/>
    </row>
    <row r="34" spans="1:10" ht="26.5" x14ac:dyDescent="0.35">
      <c r="A34" s="35" t="s">
        <v>37</v>
      </c>
      <c r="B34" s="16">
        <v>2000</v>
      </c>
      <c r="C34" s="17" t="s">
        <v>9</v>
      </c>
      <c r="D34" s="16"/>
      <c r="E34" s="17"/>
      <c r="F34" s="16">
        <v>2000</v>
      </c>
      <c r="G34" s="17">
        <f>(F34*J34)+E34</f>
        <v>1000</v>
      </c>
      <c r="I34"/>
      <c r="J34" s="7">
        <v>0.5</v>
      </c>
    </row>
    <row r="35" spans="1:10" x14ac:dyDescent="0.35">
      <c r="A35" s="35" t="s">
        <v>64</v>
      </c>
      <c r="B35" s="16"/>
      <c r="C35" s="17"/>
      <c r="D35" s="16"/>
      <c r="E35" s="17"/>
      <c r="F35" s="16"/>
      <c r="G35" s="17"/>
      <c r="I35"/>
      <c r="J35" s="32"/>
    </row>
    <row r="36" spans="1:10" x14ac:dyDescent="0.35">
      <c r="A36" s="35" t="s">
        <v>65</v>
      </c>
      <c r="B36" s="17"/>
      <c r="C36" s="17"/>
      <c r="D36" s="17"/>
      <c r="E36" s="17"/>
      <c r="F36" s="17"/>
      <c r="G36" s="17"/>
      <c r="I36"/>
      <c r="J36" s="32"/>
    </row>
    <row r="39" spans="1:10" ht="16" customHeight="1" thickBot="1" x14ac:dyDescent="0.4">
      <c r="A39" s="122" t="s">
        <v>62</v>
      </c>
      <c r="B39" s="122"/>
      <c r="C39" s="122"/>
      <c r="D39" s="122"/>
      <c r="E39" s="122"/>
      <c r="F39" s="122"/>
      <c r="G39" s="122"/>
      <c r="H39" s="122"/>
      <c r="I39" s="122"/>
      <c r="J39" s="122"/>
    </row>
    <row r="40" spans="1:10" ht="15" thickBot="1" x14ac:dyDescent="0.4">
      <c r="A40" s="36" t="s">
        <v>43</v>
      </c>
      <c r="B40" s="118">
        <v>650</v>
      </c>
    </row>
    <row r="41" spans="1:10" ht="15" thickBot="1" x14ac:dyDescent="0.4">
      <c r="A41" s="36" t="s">
        <v>44</v>
      </c>
      <c r="B41" s="37"/>
    </row>
    <row r="42" spans="1:10" ht="15" thickBot="1" x14ac:dyDescent="0.4">
      <c r="A42" s="38" t="s">
        <v>45</v>
      </c>
      <c r="B42" s="37"/>
    </row>
    <row r="43" spans="1:10" ht="29.5" thickBot="1" x14ac:dyDescent="0.4">
      <c r="A43" s="83" t="s">
        <v>80</v>
      </c>
      <c r="B43" s="37"/>
    </row>
    <row r="44" spans="1:10" s="53" customFormat="1" ht="15" customHeight="1" x14ac:dyDescent="0.35">
      <c r="A44" s="71"/>
      <c r="B44" s="72"/>
      <c r="C44" s="72"/>
      <c r="D44" s="72"/>
      <c r="E44" s="72"/>
      <c r="F44" s="72"/>
      <c r="G44" s="72"/>
      <c r="H44" s="72"/>
      <c r="I44" s="72"/>
      <c r="J44" s="72"/>
    </row>
    <row r="45" spans="1:10" s="53" customFormat="1" ht="15" customHeight="1" thickBot="1" x14ac:dyDescent="0.4">
      <c r="A45" s="128" t="s">
        <v>79</v>
      </c>
      <c r="B45" s="128"/>
      <c r="C45" s="128"/>
      <c r="D45" s="55"/>
      <c r="E45" s="55"/>
      <c r="F45" s="55"/>
      <c r="G45" s="55"/>
      <c r="H45" s="55"/>
      <c r="I45" s="55"/>
      <c r="J45" s="55"/>
    </row>
    <row r="46" spans="1:10" s="53" customFormat="1" ht="15" thickBot="1" x14ac:dyDescent="0.4">
      <c r="A46" s="67" t="s">
        <v>106</v>
      </c>
      <c r="B46" s="117">
        <v>58</v>
      </c>
      <c r="C46" s="55"/>
      <c r="D46" s="55" t="s">
        <v>107</v>
      </c>
      <c r="E46" s="55"/>
      <c r="F46" s="55"/>
      <c r="G46" s="55"/>
      <c r="H46" s="55"/>
      <c r="I46" s="55"/>
      <c r="J46" s="55"/>
    </row>
    <row r="47" spans="1:10" ht="15" thickBot="1" x14ac:dyDescent="0.4">
      <c r="A47" s="67" t="s">
        <v>96</v>
      </c>
      <c r="B47" s="117">
        <v>10</v>
      </c>
      <c r="C47" s="39"/>
    </row>
    <row r="48" spans="1:10" ht="36" customHeight="1" x14ac:dyDescent="0.35">
      <c r="A48" s="127" t="s">
        <v>86</v>
      </c>
      <c r="B48" s="127"/>
      <c r="C48" s="127"/>
      <c r="D48" s="127"/>
      <c r="E48" s="127"/>
    </row>
    <row r="49" spans="1:5" ht="36" customHeight="1" x14ac:dyDescent="0.35">
      <c r="A49" s="73" t="s">
        <v>101</v>
      </c>
      <c r="B49" s="85">
        <f>B89</f>
        <v>26529.166666666664</v>
      </c>
      <c r="C49" s="76"/>
      <c r="D49" s="76"/>
      <c r="E49" s="76"/>
    </row>
    <row r="50" spans="1:5" ht="36" customHeight="1" x14ac:dyDescent="0.35">
      <c r="A50" s="73" t="s">
        <v>87</v>
      </c>
      <c r="B50" s="87">
        <f>B40</f>
        <v>650</v>
      </c>
      <c r="C50" s="76"/>
      <c r="D50" s="76"/>
      <c r="E50" s="76"/>
    </row>
    <row r="51" spans="1:5" ht="36" customHeight="1" x14ac:dyDescent="0.35">
      <c r="A51" s="73" t="s">
        <v>102</v>
      </c>
      <c r="B51" s="107">
        <f>B49/B40</f>
        <v>40.814102564102562</v>
      </c>
    </row>
    <row r="52" spans="1:5" x14ac:dyDescent="0.35">
      <c r="A52" s="73" t="s">
        <v>103</v>
      </c>
      <c r="B52" s="105">
        <f>B103</f>
        <v>12020.833333333334</v>
      </c>
    </row>
    <row r="53" spans="1:5" x14ac:dyDescent="0.35">
      <c r="A53" s="75"/>
      <c r="B53" s="85"/>
    </row>
    <row r="54" spans="1:5" ht="52.5" x14ac:dyDescent="0.35">
      <c r="A54" s="76" t="s">
        <v>97</v>
      </c>
      <c r="B54" s="85"/>
      <c r="C54" s="44" t="s">
        <v>89</v>
      </c>
      <c r="D54" s="44" t="s">
        <v>88</v>
      </c>
    </row>
    <row r="55" spans="1:5" x14ac:dyDescent="0.35">
      <c r="A55" s="40" t="s">
        <v>46</v>
      </c>
      <c r="B55" s="85">
        <f>'Carbones à répercuter'!C22</f>
        <v>4675</v>
      </c>
    </row>
    <row r="56" spans="1:5" x14ac:dyDescent="0.35">
      <c r="A56" s="40" t="s">
        <v>51</v>
      </c>
      <c r="B56" s="85"/>
    </row>
    <row r="57" spans="1:5" x14ac:dyDescent="0.35">
      <c r="A57" s="41" t="s">
        <v>17</v>
      </c>
      <c r="B57" s="85">
        <f>G9</f>
        <v>10</v>
      </c>
    </row>
    <row r="58" spans="1:5" x14ac:dyDescent="0.35">
      <c r="A58" s="41" t="s">
        <v>18</v>
      </c>
      <c r="B58" s="85">
        <f>G10</f>
        <v>3800</v>
      </c>
    </row>
    <row r="59" spans="1:5" x14ac:dyDescent="0.35">
      <c r="A59" s="41" t="s">
        <v>19</v>
      </c>
      <c r="B59" s="85">
        <f>G11</f>
        <v>0</v>
      </c>
    </row>
    <row r="60" spans="1:5" x14ac:dyDescent="0.35">
      <c r="A60" s="41" t="s">
        <v>5</v>
      </c>
      <c r="B60" s="85">
        <f>G12</f>
        <v>0</v>
      </c>
    </row>
    <row r="61" spans="1:5" x14ac:dyDescent="0.35">
      <c r="A61" s="41" t="s">
        <v>20</v>
      </c>
      <c r="B61" s="85">
        <f>G13</f>
        <v>0</v>
      </c>
    </row>
    <row r="62" spans="1:5" x14ac:dyDescent="0.35">
      <c r="A62" s="41" t="s">
        <v>52</v>
      </c>
      <c r="B62" s="85">
        <f>SUM(B57:B61)</f>
        <v>3810</v>
      </c>
      <c r="D62" s="48"/>
    </row>
    <row r="63" spans="1:5" x14ac:dyDescent="0.35">
      <c r="A63" s="42" t="s">
        <v>21</v>
      </c>
      <c r="B63" s="85"/>
    </row>
    <row r="64" spans="1:5" x14ac:dyDescent="0.35">
      <c r="A64" s="41" t="s">
        <v>22</v>
      </c>
      <c r="B64" s="85">
        <f>G15</f>
        <v>1800</v>
      </c>
      <c r="C64" s="101">
        <f>(('Année 2'!D15+'Année 2'!F15)/'Année 2'!B40)-(('Année 3'!D15+'Année 3'!F15)/'Année 3'!B40)</f>
        <v>-0.14102564102564105</v>
      </c>
      <c r="D64" s="101">
        <f>IF('Année 2'!G15=0,C64*(G15/(D15+F15)),C64*('Année 2'!G15/('Année 2'!D15+'Année 2'!F15)))</f>
        <v>-1.2692307692307694</v>
      </c>
      <c r="E64" s="45"/>
    </row>
    <row r="65" spans="1:4" x14ac:dyDescent="0.35">
      <c r="A65" s="41" t="s">
        <v>23</v>
      </c>
      <c r="B65" s="85">
        <f>G16</f>
        <v>1400</v>
      </c>
      <c r="C65" s="101">
        <f>(('Année 2'!D16+'Année 2'!F16)/'Année 2'!B40)-(('Année 3'!D16+'Année 3'!F16)/'Année 3'!B40)</f>
        <v>-0.30769230769230771</v>
      </c>
      <c r="D65" s="101">
        <f>IF('Année 2'!G16=0,C65*(G16/(D16+F16)),C65*('Année 2'!G16/('Année 2'!D16+'Année 2'!F16)))</f>
        <v>-2.1538461538461542</v>
      </c>
    </row>
    <row r="66" spans="1:4" x14ac:dyDescent="0.35">
      <c r="A66" s="40" t="s">
        <v>24</v>
      </c>
      <c r="B66" s="85"/>
      <c r="C66" s="101"/>
      <c r="D66" s="101"/>
    </row>
    <row r="67" spans="1:4" x14ac:dyDescent="0.35">
      <c r="A67" s="41" t="s">
        <v>70</v>
      </c>
      <c r="B67" s="85">
        <f>G18</f>
        <v>0</v>
      </c>
      <c r="C67" s="101">
        <f>(('Année 2'!D18+'Année 2'!F18)/'Année 2'!B40)-(('Année 3'!D18+'Année 3'!F18)/'Année 3'!B40)</f>
        <v>16.666666666666668</v>
      </c>
      <c r="D67" s="101">
        <f>IF('Année 2'!G18=0,C67*(G18/(D18+F18)),C67*('Année 2'!G18/('Année 2'!D18+'Année 2'!F18)))</f>
        <v>1.166666666666667</v>
      </c>
    </row>
    <row r="68" spans="1:4" x14ac:dyDescent="0.35">
      <c r="A68" s="41" t="s">
        <v>71</v>
      </c>
      <c r="B68" s="85">
        <f>G19</f>
        <v>0</v>
      </c>
      <c r="C68" s="101">
        <f>(('Année 2'!D19+'Année 2'!F19)/'Année 2'!B40)-(('Année 3'!D19+'Année 3'!F19)/'Année 3'!B40)</f>
        <v>1.6666666666666667</v>
      </c>
      <c r="D68" s="101">
        <f>IF('Année 2'!G19=0,C68*(G19/(D19+F19)),C68*('Année 2'!G19/('Année 2'!D19+'Année 2'!F19)))</f>
        <v>0.11666666666666668</v>
      </c>
    </row>
    <row r="69" spans="1:4" x14ac:dyDescent="0.35">
      <c r="A69" s="41" t="s">
        <v>8</v>
      </c>
      <c r="B69" s="85">
        <f>G20</f>
        <v>125</v>
      </c>
      <c r="C69" s="101">
        <f>(('Année 2'!D20+'Année 2'!F20)/'Année 2'!B40)-(('Année 3'!D20+'Année 3'!F20)/'Année 3'!B40)</f>
        <v>0.75641025641025639</v>
      </c>
      <c r="D69" s="101">
        <f>IF('Année 2'!G20=0,C69*(G20/(D20+F20)),C69*('Année 2'!G20/('Année 2'!D20+'Année 2'!F20)))</f>
        <v>1.891025641025641</v>
      </c>
    </row>
    <row r="70" spans="1:4" x14ac:dyDescent="0.35">
      <c r="A70" s="41" t="s">
        <v>25</v>
      </c>
      <c r="B70" s="85">
        <f>G21</f>
        <v>125</v>
      </c>
      <c r="C70" s="101">
        <f>(('Année 2'!D21+'Année 2'!F21)/'Année 2'!B40)-(('Année 3'!D21+'Année 3'!F21)/'Année 3'!B40)</f>
        <v>-7.6923076923076927E-2</v>
      </c>
      <c r="D70" s="101">
        <f>IF('Année 2'!G21=0,C70*(G21/(D21+F21)),C70*('Année 2'!G21/('Année 2'!D21+'Année 2'!F21)))</f>
        <v>-0.19230769230769232</v>
      </c>
    </row>
    <row r="71" spans="1:4" x14ac:dyDescent="0.35">
      <c r="A71" s="41" t="s">
        <v>26</v>
      </c>
      <c r="B71" s="85">
        <f>G22</f>
        <v>117.5</v>
      </c>
      <c r="C71" s="101">
        <f>(('Année 2'!D22+'Année 2'!F22)/'Année 2'!B40)-(('Année 3'!D22+'Année 3'!F22)/'Année 3'!B40)</f>
        <v>-7.6923076923076927E-2</v>
      </c>
      <c r="D71" s="101">
        <f>IF('Année 2'!G22=0,C71*(G22/(D22+F22)),C71*('Année 2'!G22/('Année 2'!D22+'Année 2'!F22)))</f>
        <v>-0.18076923076923079</v>
      </c>
    </row>
    <row r="72" spans="1:4" x14ac:dyDescent="0.35">
      <c r="A72" s="42" t="s">
        <v>27</v>
      </c>
      <c r="B72" s="85"/>
      <c r="C72" s="101"/>
      <c r="D72" s="101"/>
    </row>
    <row r="73" spans="1:4" x14ac:dyDescent="0.35">
      <c r="A73" s="40" t="s">
        <v>28</v>
      </c>
      <c r="B73" s="85"/>
      <c r="C73" s="101"/>
      <c r="D73" s="101"/>
    </row>
    <row r="74" spans="1:4" x14ac:dyDescent="0.35">
      <c r="A74" s="41" t="s">
        <v>29</v>
      </c>
      <c r="B74" s="85">
        <f>G25</f>
        <v>200</v>
      </c>
      <c r="C74" s="101">
        <f>(('Année 2'!D25+'Année 2'!F25)/'Année 2'!B40)-(('Année 3'!D25+'Année 3'!F25)/'Année 3'!B40)</f>
        <v>0.46153846153846145</v>
      </c>
      <c r="D74" s="101">
        <f>IF('Année 2'!G25=0,C74*(G25/(D25+F25)),C74*('Année 2'!G25/('Année 2'!D25+'Année 2'!F25)))</f>
        <v>9.2307692307692299E-2</v>
      </c>
    </row>
    <row r="75" spans="1:4" x14ac:dyDescent="0.35">
      <c r="A75" s="41" t="s">
        <v>30</v>
      </c>
      <c r="B75" s="85">
        <f>G26</f>
        <v>30</v>
      </c>
      <c r="C75" s="101">
        <f>(('Année 2'!D26+'Année 2'!F26)/'Année 2'!B40)-(('Année 3'!D26+'Année 3'!F26)/'Année 3'!B40)</f>
        <v>-0.15384615384615385</v>
      </c>
      <c r="D75" s="101">
        <f>IF('Année 2'!G26=0,C75*(G26/(D26+F26)),C75*('Année 2'!G26/('Année 2'!D26+'Année 2'!F26)))</f>
        <v>-4.6153846153846156E-2</v>
      </c>
    </row>
    <row r="76" spans="1:4" x14ac:dyDescent="0.35">
      <c r="A76" s="41" t="s">
        <v>31</v>
      </c>
      <c r="B76" s="85">
        <f>G27</f>
        <v>30</v>
      </c>
      <c r="C76" s="101">
        <f>(('Année 2'!D27+'Année 2'!F27)/'Année 2'!B40)-(('Année 3'!D27+'Année 3'!F27)/'Année 3'!B40)</f>
        <v>-0.76923076923076927</v>
      </c>
      <c r="D76" s="101">
        <f>IF('Année 2'!G27=0,C76*(G27/(D27+F27)),C76*('Année 2'!G27/('Année 2'!D27+'Année 2'!F27)))</f>
        <v>-4.6153846153846156E-2</v>
      </c>
    </row>
    <row r="77" spans="1:4" x14ac:dyDescent="0.35">
      <c r="A77" s="43" t="s">
        <v>32</v>
      </c>
      <c r="B77" s="85">
        <f>G28</f>
        <v>840.00000000000011</v>
      </c>
      <c r="C77" s="101">
        <f>(('Année 2'!D28+'Année 2'!F28)/'Année 2'!B40)-(('Année 3'!D28+'Année 3'!F28)/'Année 3'!B40)</f>
        <v>-0.89743589743589602</v>
      </c>
      <c r="D77" s="101">
        <f>IF('Année 2'!G28=0,C77*(G28/(D28+F28)),C77*('Année 2'!G28/('Année 2'!D28+'Année 2'!F28)))</f>
        <v>-0.12564102564102544</v>
      </c>
    </row>
    <row r="78" spans="1:4" x14ac:dyDescent="0.35">
      <c r="A78" s="40" t="s">
        <v>33</v>
      </c>
      <c r="B78" s="85"/>
      <c r="C78" s="101"/>
      <c r="D78" s="101"/>
    </row>
    <row r="79" spans="1:4" x14ac:dyDescent="0.35">
      <c r="A79" s="41" t="s">
        <v>34</v>
      </c>
      <c r="B79" s="85">
        <f>G30</f>
        <v>0</v>
      </c>
      <c r="C79" s="101">
        <f>(('Année 2'!D30+'Année 2'!F30)/'Année 2'!B40)-(('Année 3'!D30+'Année 3'!F30)/'Année 3'!B40)</f>
        <v>6.6666666666666671E-3</v>
      </c>
      <c r="D79" s="101">
        <f>IF('Année 2'!G30=0,C79*(G30/(D30+F30)),C79*('Année 2'!G30/('Année 2'!D30+'Année 2'!F30)))</f>
        <v>2</v>
      </c>
    </row>
    <row r="80" spans="1:4" x14ac:dyDescent="0.35">
      <c r="A80" s="41" t="s">
        <v>35</v>
      </c>
      <c r="B80" s="85">
        <f>G31</f>
        <v>150</v>
      </c>
      <c r="C80" s="101">
        <f>(('Année 2'!D31+'Année 2'!F31)/'Année 2'!B40)-(('Année 3'!D31+'Année 3'!F31)/'Année 3'!B40)</f>
        <v>1.2820512820512831E-4</v>
      </c>
      <c r="D80" s="101">
        <f>IF('Année 2'!G31=0,C80*(G31/(D31+F31)),C80*('Année 2'!G31/('Année 2'!D31+'Année 2'!F31)))</f>
        <v>1.9230769230769246E-2</v>
      </c>
    </row>
    <row r="81" spans="1:9" x14ac:dyDescent="0.35">
      <c r="A81" s="42" t="s">
        <v>36</v>
      </c>
      <c r="B81" s="85"/>
      <c r="C81" s="101"/>
      <c r="D81" s="101"/>
    </row>
    <row r="82" spans="1:9" ht="26.5" x14ac:dyDescent="0.35">
      <c r="A82" s="99" t="s">
        <v>99</v>
      </c>
      <c r="B82" s="85">
        <f>G33</f>
        <v>0</v>
      </c>
      <c r="C82" s="101">
        <f>(('Année 2'!D33+'Année 2'!F33)/'Année 2'!B40)-(('Année 3'!D33+'Année 3'!F33)/'Année 3'!B40)</f>
        <v>1.2820512820512803E-2</v>
      </c>
      <c r="D82" s="101">
        <f>IF('Année 2'!G33=0,C82*(G33/(D33+F33)),C82*('Année 2'!G33/('Année 2'!D33+'Année 2'!F33)))</f>
        <v>0</v>
      </c>
    </row>
    <row r="83" spans="1:9" ht="26.5" x14ac:dyDescent="0.35">
      <c r="A83" s="44" t="s">
        <v>37</v>
      </c>
      <c r="B83" s="85">
        <f>G34</f>
        <v>1000</v>
      </c>
      <c r="C83" s="101">
        <f>(('Année 2'!D34+'Année 2'!F34)/'Année 2'!B40)-(('Année 3'!D34+'Année 3'!F34)/'Année 3'!B40)</f>
        <v>0.25641025641025639</v>
      </c>
      <c r="D83" s="101">
        <f>IF('Année 2'!G34=0,C83*(G34/(D34+F34)),C83*('Année 2'!G34/('Année 2'!D34+'Année 2'!F34)))</f>
        <v>0.12820512820512819</v>
      </c>
    </row>
    <row r="84" spans="1:9" x14ac:dyDescent="0.35">
      <c r="A84" s="73" t="s">
        <v>50</v>
      </c>
      <c r="B84" s="85">
        <f>SUM(B55:B83)-B62</f>
        <v>14302.5</v>
      </c>
      <c r="C84" s="45"/>
      <c r="D84" s="48"/>
    </row>
    <row r="85" spans="1:9" x14ac:dyDescent="0.35">
      <c r="A85" s="73" t="s">
        <v>63</v>
      </c>
      <c r="B85" s="85">
        <f>'Carbones à répercuter'!I40</f>
        <v>12226.666666666666</v>
      </c>
    </row>
    <row r="86" spans="1:9" x14ac:dyDescent="0.35">
      <c r="A86" s="73" t="s">
        <v>72</v>
      </c>
      <c r="B86" s="85">
        <f>B84+B85</f>
        <v>26529.166666666664</v>
      </c>
    </row>
    <row r="87" spans="1:9" x14ac:dyDescent="0.35">
      <c r="A87" s="44" t="s">
        <v>64</v>
      </c>
      <c r="B87" s="85"/>
    </row>
    <row r="88" spans="1:9" x14ac:dyDescent="0.35">
      <c r="A88" s="44" t="s">
        <v>65</v>
      </c>
      <c r="B88" s="85"/>
    </row>
    <row r="89" spans="1:9" ht="29" x14ac:dyDescent="0.35">
      <c r="A89" s="73" t="s">
        <v>81</v>
      </c>
      <c r="B89" s="85">
        <f>B86+B87-B88</f>
        <v>26529.166666666664</v>
      </c>
    </row>
    <row r="90" spans="1:9" x14ac:dyDescent="0.35">
      <c r="A90" s="73" t="s">
        <v>87</v>
      </c>
      <c r="B90" s="85">
        <f>B40</f>
        <v>650</v>
      </c>
    </row>
    <row r="91" spans="1:9" x14ac:dyDescent="0.35">
      <c r="A91" s="39" t="s">
        <v>104</v>
      </c>
      <c r="B91" s="85">
        <f>B51</f>
        <v>40.814102564102562</v>
      </c>
    </row>
    <row r="92" spans="1:9" x14ac:dyDescent="0.35">
      <c r="A92" s="73"/>
      <c r="B92" s="85"/>
    </row>
    <row r="93" spans="1:9" s="80" customFormat="1" ht="18.5" x14ac:dyDescent="0.45">
      <c r="A93" s="119" t="s">
        <v>69</v>
      </c>
      <c r="B93" s="119"/>
      <c r="D93" s="93"/>
      <c r="I93" s="94"/>
    </row>
    <row r="94" spans="1:9" s="80" customFormat="1" ht="29" x14ac:dyDescent="0.35">
      <c r="A94" s="73" t="s">
        <v>66</v>
      </c>
      <c r="B94" s="85"/>
      <c r="D94" s="93"/>
      <c r="I94" s="94"/>
    </row>
    <row r="95" spans="1:9" s="80" customFormat="1" x14ac:dyDescent="0.35">
      <c r="A95" s="75" t="s">
        <v>67</v>
      </c>
      <c r="B95" s="85"/>
      <c r="D95" s="93"/>
      <c r="I95" s="94"/>
    </row>
    <row r="96" spans="1:9" s="80" customFormat="1" x14ac:dyDescent="0.35">
      <c r="A96" s="75" t="s">
        <v>68</v>
      </c>
      <c r="B96" s="85"/>
      <c r="D96" s="93"/>
      <c r="I96" s="94"/>
    </row>
    <row r="97" spans="1:2" x14ac:dyDescent="0.35">
      <c r="B97" s="85"/>
    </row>
    <row r="98" spans="1:2" ht="18.5" x14ac:dyDescent="0.45">
      <c r="A98" s="79" t="s">
        <v>110</v>
      </c>
      <c r="B98" s="85"/>
    </row>
    <row r="99" spans="1:2" x14ac:dyDescent="0.35">
      <c r="A99" s="80"/>
      <c r="B99" s="85"/>
    </row>
    <row r="100" spans="1:2" x14ac:dyDescent="0.35">
      <c r="A100" s="39" t="s">
        <v>105</v>
      </c>
      <c r="B100" s="85">
        <f>SUM(D64:D83)*'Année 2'!B40</f>
        <v>840.00000000000011</v>
      </c>
    </row>
    <row r="101" spans="1:2" x14ac:dyDescent="0.35">
      <c r="A101" s="39" t="s">
        <v>108</v>
      </c>
      <c r="B101" s="85">
        <f>-(B50-'Année 1'!B50)*(B51-B46)</f>
        <v>11170.833333333334</v>
      </c>
    </row>
    <row r="102" spans="1:2" x14ac:dyDescent="0.35">
      <c r="A102" s="39" t="s">
        <v>109</v>
      </c>
      <c r="B102" s="85">
        <f>+B47</f>
        <v>10</v>
      </c>
    </row>
    <row r="103" spans="1:2" x14ac:dyDescent="0.35">
      <c r="A103" s="39" t="s">
        <v>48</v>
      </c>
      <c r="B103" s="85">
        <f>SUM(B100:B102)</f>
        <v>12020.833333333334</v>
      </c>
    </row>
  </sheetData>
  <mergeCells count="6">
    <mergeCell ref="A93:B93"/>
    <mergeCell ref="A2:J2"/>
    <mergeCell ref="A39:J39"/>
    <mergeCell ref="A45:C45"/>
    <mergeCell ref="A48:E48"/>
    <mergeCell ref="H33:I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Carbones à répercuter</vt:lpstr>
      <vt:lpstr>Année 1</vt:lpstr>
      <vt:lpstr>Année 2</vt:lpstr>
      <vt:lpstr>Année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Vanwormhoudt</dc:creator>
  <cp:lastModifiedBy>Valérie Vanwormhoudt</cp:lastModifiedBy>
  <dcterms:created xsi:type="dcterms:W3CDTF">2023-05-24T07:42:04Z</dcterms:created>
  <dcterms:modified xsi:type="dcterms:W3CDTF">2023-10-20T09:17:39Z</dcterms:modified>
</cp:coreProperties>
</file>